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763" activeTab="0"/>
  </bookViews>
  <sheets>
    <sheet name="Front Sheet" sheetId="1" r:id="rId1"/>
    <sheet name="Heliair" sheetId="2" r:id="rId2"/>
    <sheet name="Nitrox" sheetId="3" r:id="rId3"/>
    <sheet name="Trimix" sheetId="4" r:id="rId4"/>
    <sheet name="Gas Usage" sheetId="5" r:id="rId5"/>
    <sheet name="Settle Out" sheetId="6" r:id="rId6"/>
    <sheet name="Heliox Adjuster" sheetId="7" r:id="rId7"/>
    <sheet name="Topping Off" sheetId="8" r:id="rId8"/>
  </sheets>
  <definedNames/>
  <calcPr fullCalcOnLoad="1" iterate="1" iterateCount="250" iterateDelta="0.0005"/>
</workbook>
</file>

<file path=xl/sharedStrings.xml><?xml version="1.0" encoding="utf-8"?>
<sst xmlns="http://schemas.openxmlformats.org/spreadsheetml/2006/main" count="385" uniqueCount="189">
  <si>
    <t>m</t>
  </si>
  <si>
    <t>bara</t>
  </si>
  <si>
    <t>fn</t>
  </si>
  <si>
    <t>fo</t>
  </si>
  <si>
    <t>fh</t>
  </si>
  <si>
    <t>%</t>
  </si>
  <si>
    <t>Max ppO2</t>
  </si>
  <si>
    <t>Max Depth</t>
  </si>
  <si>
    <t>Required END</t>
  </si>
  <si>
    <t>Oxygen</t>
  </si>
  <si>
    <t>Helium</t>
  </si>
  <si>
    <t>Nitrogen</t>
  </si>
  <si>
    <t>MOD (1.6)</t>
  </si>
  <si>
    <t>Selected Gas Mix</t>
  </si>
  <si>
    <t>O2 filling press to</t>
  </si>
  <si>
    <t>He filling press to</t>
  </si>
  <si>
    <t>Air filling press to</t>
  </si>
  <si>
    <t>Selected Gas Mixing Recipe</t>
  </si>
  <si>
    <t>mins</t>
  </si>
  <si>
    <t>m/min</t>
  </si>
  <si>
    <t>Bottom Time</t>
  </si>
  <si>
    <t>RMV (bottom)</t>
  </si>
  <si>
    <t>RMV (deco)</t>
  </si>
  <si>
    <t>Ascent rate</t>
  </si>
  <si>
    <t>l/min</t>
  </si>
  <si>
    <t>Bottom gas</t>
  </si>
  <si>
    <t>Selected Gas</t>
  </si>
  <si>
    <t>Bottom Gas</t>
  </si>
  <si>
    <t>Gas Usage Summation</t>
  </si>
  <si>
    <t>litres</t>
  </si>
  <si>
    <t>Gas</t>
  </si>
  <si>
    <t>WC</t>
  </si>
  <si>
    <t>(litres)</t>
  </si>
  <si>
    <t>Required Pressure</t>
  </si>
  <si>
    <t>barg</t>
  </si>
  <si>
    <t>barg FPC</t>
  </si>
  <si>
    <t>(barg)</t>
  </si>
  <si>
    <t>Final cyl pressure</t>
  </si>
  <si>
    <t>Residual gas details</t>
  </si>
  <si>
    <t>Residual Pressure</t>
  </si>
  <si>
    <t>Residual pressure</t>
  </si>
  <si>
    <t>pa</t>
  </si>
  <si>
    <t>o+</t>
  </si>
  <si>
    <t>Selected gas mix</t>
  </si>
  <si>
    <t>h+</t>
  </si>
  <si>
    <t>po (residual)</t>
  </si>
  <si>
    <t>po (required)</t>
  </si>
  <si>
    <t>dpo</t>
  </si>
  <si>
    <t>ph (residual)</t>
  </si>
  <si>
    <t>pn (residual)</t>
  </si>
  <si>
    <t>ph (required)</t>
  </si>
  <si>
    <t>pn (required)</t>
  </si>
  <si>
    <t>dph</t>
  </si>
  <si>
    <t>dpn</t>
  </si>
  <si>
    <t>ppO2 at max depth</t>
  </si>
  <si>
    <t>HELIAIR MIXING PROGRAM</t>
  </si>
  <si>
    <t>GAS USAGE PROGRAM</t>
  </si>
  <si>
    <t>TRIMIX MIXING PROGRAM</t>
  </si>
  <si>
    <t>po</t>
  </si>
  <si>
    <t>pn</t>
  </si>
  <si>
    <t>a+</t>
  </si>
  <si>
    <t>END</t>
  </si>
  <si>
    <t>Final Gas Mix</t>
  </si>
  <si>
    <t>AIR TOPPING OFF PROGRAM</t>
  </si>
  <si>
    <t>GLJ</t>
  </si>
  <si>
    <t>16May00</t>
  </si>
  <si>
    <t>NITROX MIXING PROGRAM</t>
  </si>
  <si>
    <t>Required Nitrox</t>
  </si>
  <si>
    <t>% O2</t>
  </si>
  <si>
    <t>50% Nitrox  (G2)</t>
  </si>
  <si>
    <t>100% O2  (G1)</t>
  </si>
  <si>
    <t>Required</t>
  </si>
  <si>
    <t>Pressure</t>
  </si>
  <si>
    <t>Minimum</t>
  </si>
  <si>
    <t>Notes:</t>
  </si>
  <si>
    <t>1. Required pressure for deco gas is (gas*2)+15 bar</t>
  </si>
  <si>
    <t>2. Required pressure for bottom gas is 2/3 rule</t>
  </si>
  <si>
    <t>Helium cost</t>
  </si>
  <si>
    <t>Oxygen cost</t>
  </si>
  <si>
    <t>Cylinder(s) size</t>
  </si>
  <si>
    <t>pence/litre</t>
  </si>
  <si>
    <t>£</t>
  </si>
  <si>
    <t>Gas costs</t>
  </si>
  <si>
    <t>Cylinder pressure</t>
  </si>
  <si>
    <t>Cylinder volume</t>
  </si>
  <si>
    <t>SETTLING OUT PROGRAM</t>
  </si>
  <si>
    <t>Final combined cylinder pressure</t>
  </si>
  <si>
    <t>02Jun00</t>
  </si>
  <si>
    <t>Heliox O2 analysis check</t>
  </si>
  <si>
    <t>Suggested Gas Mix</t>
  </si>
  <si>
    <t>22Jun00</t>
  </si>
  <si>
    <t>Suggested gas mix</t>
  </si>
  <si>
    <t>PO2</t>
  </si>
  <si>
    <t>CNS %/min</t>
  </si>
  <si>
    <t>Deco gas 1 O2 content</t>
  </si>
  <si>
    <t>Deco gas 2 O2 content</t>
  </si>
  <si>
    <t>Bottom gas O2 content</t>
  </si>
  <si>
    <t>3m stop</t>
  </si>
  <si>
    <t>6m stop</t>
  </si>
  <si>
    <t>9m stop</t>
  </si>
  <si>
    <t>ppO2</t>
  </si>
  <si>
    <t>12m stop</t>
  </si>
  <si>
    <t>15m stop</t>
  </si>
  <si>
    <t>18m stop</t>
  </si>
  <si>
    <t>21m stop</t>
  </si>
  <si>
    <t>24m stop</t>
  </si>
  <si>
    <t>27m stop</t>
  </si>
  <si>
    <t>30m stop</t>
  </si>
  <si>
    <t>33m stop</t>
  </si>
  <si>
    <t>36m stop</t>
  </si>
  <si>
    <t>39m stop</t>
  </si>
  <si>
    <t>42m stop</t>
  </si>
  <si>
    <t>45m stop</t>
  </si>
  <si>
    <t>48m stop</t>
  </si>
  <si>
    <t>51m stop</t>
  </si>
  <si>
    <t>54m stop</t>
  </si>
  <si>
    <t>CNS %</t>
  </si>
  <si>
    <t>Bottom time</t>
  </si>
  <si>
    <t>Ascent(conservative)</t>
  </si>
  <si>
    <t>Deco gas 3 O2 content</t>
  </si>
  <si>
    <t>g3+bg</t>
  </si>
  <si>
    <t>g2+g3+bg</t>
  </si>
  <si>
    <t>g1+g2+g3+bg</t>
  </si>
  <si>
    <t>(m)</t>
  </si>
  <si>
    <t>(mins)</t>
  </si>
  <si>
    <t>Stop Depth</t>
  </si>
  <si>
    <t>Time</t>
  </si>
  <si>
    <t xml:space="preserve">Total CNS Clock      </t>
  </si>
  <si>
    <t xml:space="preserve">4. Spreadsheet valid for DIR deco gases only </t>
  </si>
  <si>
    <t>100% O2</t>
  </si>
  <si>
    <t>50% Nitrox</t>
  </si>
  <si>
    <t>5. User can specify bottom gas; O2 and bottom gas;</t>
  </si>
  <si>
    <t xml:space="preserve">    bottom gas</t>
  </si>
  <si>
    <t>Selected deco and bottom gas</t>
  </si>
  <si>
    <t>100% or BG (G1)</t>
  </si>
  <si>
    <t>50% or BG (G2)</t>
  </si>
  <si>
    <t>35% or BG (G3)</t>
  </si>
  <si>
    <t xml:space="preserve">    ie Oxygen, 50%, 35% and bottom gas</t>
  </si>
  <si>
    <t xml:space="preserve">     O2, 50% and bottom gas; O2, 50%, 35% and</t>
  </si>
  <si>
    <t>35% Nitrox</t>
  </si>
  <si>
    <t>35% Nitrox (G3)</t>
  </si>
  <si>
    <t>29Jun00</t>
  </si>
  <si>
    <t xml:space="preserve">     greater than 36m</t>
  </si>
  <si>
    <t>3. Gas calculation only strictly valid for max depths</t>
  </si>
  <si>
    <t>Heliox Adjuster Program</t>
  </si>
  <si>
    <t>Initial Analysis</t>
  </si>
  <si>
    <t>Initial Pressure</t>
  </si>
  <si>
    <t>Required Analysis</t>
  </si>
  <si>
    <t>+O2a</t>
  </si>
  <si>
    <t>+O2b</t>
  </si>
  <si>
    <t>a-b</t>
  </si>
  <si>
    <t>lose</t>
  </si>
  <si>
    <t>vent</t>
  </si>
  <si>
    <t>+O2</t>
  </si>
  <si>
    <t>Notes</t>
  </si>
  <si>
    <t>Suggested fix</t>
  </si>
  <si>
    <t>+He</t>
  </si>
  <si>
    <t>1. Spreadsheet to be used to determine adjustment to faulty heliox mix before air is added to make target trimix.</t>
  </si>
  <si>
    <t xml:space="preserve">    Alternatively, user can determine vent pressure by trial and error before adding O2, by reducing initial</t>
  </si>
  <si>
    <t xml:space="preserve">    pressure of mix.</t>
  </si>
  <si>
    <t>06Dec00</t>
  </si>
  <si>
    <t>2. If venting is required after adding O2, ensure cylinder contents have mixed before depressurising.</t>
  </si>
  <si>
    <t>THE GAS WIZARD SUITE OF GAS MIXING PROGRAMS</t>
  </si>
  <si>
    <t>The Gas Wizard suite of gas mixing programs consist of the following spreadsheets -</t>
  </si>
  <si>
    <t>Heliair mixing calculation</t>
  </si>
  <si>
    <t>Nitrox mixing calculation</t>
  </si>
  <si>
    <t>Trimix mixing calculation</t>
  </si>
  <si>
    <t>Gas Usage calculation</t>
  </si>
  <si>
    <t>- specifically for profiles using DIR deco gases only</t>
  </si>
  <si>
    <t>Settle Out calculation</t>
  </si>
  <si>
    <t>- used when decanting gas</t>
  </si>
  <si>
    <t>Heliox Adjuster calculation</t>
  </si>
  <si>
    <t>- used for determining adjustment to incorrect heliox before adding air when mixing trimix</t>
  </si>
  <si>
    <t>Air Topping Off calculation</t>
  </si>
  <si>
    <t>- used for determining gas mixture after topping off with air</t>
  </si>
  <si>
    <t>User to use information produced by Gas Wizard at their own risk</t>
  </si>
  <si>
    <t>Notes for users new to Excel</t>
  </si>
  <si>
    <t>To select required spreadsheet, click on sheet tab on bar below.</t>
  </si>
  <si>
    <t>All spreadsheets are write protected and cannot be corrupted or damaged by incorrect user input.</t>
  </si>
  <si>
    <t>User to supply data marked by yellow cells.</t>
  </si>
  <si>
    <t>Spreadsheet will highlight and warn if obviously incorrect data is entered.</t>
  </si>
  <si>
    <t>Additional notes are included on individual spreadsheet where necessary.</t>
  </si>
  <si>
    <t>Gareth Jones 08Mar01</t>
  </si>
  <si>
    <t>08Mar01</t>
  </si>
  <si>
    <t>Air top off cost</t>
  </si>
  <si>
    <t>Total cost of fill</t>
  </si>
  <si>
    <t>O2 cost</t>
  </si>
  <si>
    <t>He cost</t>
  </si>
  <si>
    <t>He+O2 Cost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</si>
</sst>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8"/>
      <color indexed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 quotePrefix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5" fontId="1" fillId="0" borderId="0" xfId="0" applyNumberFormat="1" applyFont="1" applyFill="1" applyAlignment="1" applyProtection="1" quotePrefix="1">
      <alignment horizontal="lef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15" fontId="1" fillId="0" borderId="0" xfId="0" applyNumberFormat="1" applyFont="1" applyFill="1" applyAlignment="1" applyProtection="1" quotePrefix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 quotePrefix="1">
      <alignment horizontal="left"/>
      <protection/>
    </xf>
    <xf numFmtId="172" fontId="0" fillId="0" borderId="2" xfId="0" applyNumberFormat="1" applyFill="1" applyBorder="1" applyAlignment="1" applyProtection="1">
      <alignment/>
      <protection/>
    </xf>
    <xf numFmtId="0" fontId="0" fillId="0" borderId="0" xfId="0" applyAlignment="1" quotePrefix="1">
      <alignment horizontal="left"/>
    </xf>
    <xf numFmtId="0" fontId="0" fillId="0" borderId="0" xfId="0" applyAlignment="1" applyProtection="1" quotePrefix="1">
      <alignment horizontal="left"/>
      <protection/>
    </xf>
    <xf numFmtId="0" fontId="1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Fill="1" applyAlignment="1" quotePrefix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2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" fontId="0" fillId="0" borderId="8" xfId="0" applyNumberFormat="1" applyFill="1" applyBorder="1" applyAlignment="1">
      <alignment/>
    </xf>
    <xf numFmtId="0" fontId="1" fillId="0" borderId="4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1" fontId="0" fillId="0" borderId="2" xfId="0" applyNumberFormat="1" applyBorder="1" applyAlignment="1">
      <alignment/>
    </xf>
    <xf numFmtId="1" fontId="0" fillId="2" borderId="0" xfId="0" applyNumberForma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0" fillId="2" borderId="1" xfId="0" applyNumberFormat="1" applyFill="1" applyBorder="1" applyAlignment="1" applyProtection="1">
      <alignment/>
      <protection locked="0"/>
    </xf>
    <xf numFmtId="0" fontId="1" fillId="0" borderId="0" xfId="0" applyFont="1" applyBorder="1" applyAlignment="1" quotePrefix="1">
      <alignment horizontal="left"/>
    </xf>
    <xf numFmtId="0" fontId="2" fillId="0" borderId="0" xfId="0" applyFont="1" applyAlignment="1" applyProtection="1">
      <alignment/>
      <protection/>
    </xf>
    <xf numFmtId="15" fontId="1" fillId="0" borderId="3" xfId="0" applyNumberFormat="1" applyFont="1" applyFill="1" applyBorder="1" applyAlignment="1" applyProtection="1" quotePrefix="1">
      <alignment/>
      <protection/>
    </xf>
    <xf numFmtId="1" fontId="0" fillId="0" borderId="2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2" xfId="0" applyBorder="1" applyAlignment="1">
      <alignment/>
    </xf>
    <xf numFmtId="15" fontId="0" fillId="0" borderId="0" xfId="0" applyNumberFormat="1" applyFill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2" fontId="0" fillId="2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5" xfId="0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3" xfId="0" applyNumberFormat="1" applyFill="1" applyBorder="1" applyAlignment="1">
      <alignment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ill="1" applyBorder="1" applyAlignment="1">
      <alignment/>
    </xf>
    <xf numFmtId="0" fontId="0" fillId="2" borderId="23" xfId="0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 quotePrefix="1">
      <alignment/>
    </xf>
    <xf numFmtId="0" fontId="0" fillId="0" borderId="0" xfId="0" applyNumberFormat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 quotePrefix="1">
      <alignment/>
    </xf>
    <xf numFmtId="0" fontId="5" fillId="3" borderId="0" xfId="0" applyFont="1" applyFill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 applyProtection="1">
      <alignment horizontal="right"/>
      <protection/>
    </xf>
    <xf numFmtId="2" fontId="0" fillId="0" borderId="3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23.7109375" style="0" customWidth="1"/>
  </cols>
  <sheetData>
    <row r="1" spans="1:12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3.25">
      <c r="A2" s="128"/>
      <c r="B2" s="129" t="s">
        <v>162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/>
      <c r="B4" s="128" t="s">
        <v>163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2.75">
      <c r="A6" s="128"/>
      <c r="B6" s="128"/>
      <c r="C6" s="128" t="s">
        <v>164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2.75">
      <c r="A7" s="128"/>
      <c r="B7" s="128"/>
      <c r="C7" s="128" t="s">
        <v>165</v>
      </c>
      <c r="D7" s="128"/>
      <c r="E7" s="128"/>
      <c r="F7" s="128"/>
      <c r="G7" s="128"/>
      <c r="H7" s="128"/>
      <c r="I7" s="128"/>
      <c r="J7" s="128"/>
      <c r="K7" s="128"/>
      <c r="L7" s="128"/>
    </row>
    <row r="8" spans="1:12" ht="12.75">
      <c r="A8" s="128"/>
      <c r="B8" s="128"/>
      <c r="C8" s="128" t="s">
        <v>166</v>
      </c>
      <c r="D8" s="128"/>
      <c r="E8" s="128"/>
      <c r="F8" s="128"/>
      <c r="G8" s="128"/>
      <c r="H8" s="128"/>
      <c r="I8" s="128"/>
      <c r="J8" s="128"/>
      <c r="K8" s="128"/>
      <c r="L8" s="128"/>
    </row>
    <row r="9" spans="1:12" ht="12.75">
      <c r="A9" s="128"/>
      <c r="B9" s="128"/>
      <c r="C9" s="128" t="s">
        <v>167</v>
      </c>
      <c r="D9" s="130" t="s">
        <v>168</v>
      </c>
      <c r="E9" s="128"/>
      <c r="F9" s="128"/>
      <c r="G9" s="128"/>
      <c r="H9" s="128"/>
      <c r="I9" s="128"/>
      <c r="J9" s="128"/>
      <c r="K9" s="128"/>
      <c r="L9" s="128"/>
    </row>
    <row r="10" spans="1:12" ht="12.75">
      <c r="A10" s="128"/>
      <c r="B10" s="128"/>
      <c r="C10" s="128" t="s">
        <v>169</v>
      </c>
      <c r="D10" s="130" t="s">
        <v>170</v>
      </c>
      <c r="E10" s="128"/>
      <c r="F10" s="128"/>
      <c r="G10" s="128"/>
      <c r="H10" s="128"/>
      <c r="I10" s="128"/>
      <c r="J10" s="128"/>
      <c r="K10" s="128"/>
      <c r="L10" s="128"/>
    </row>
    <row r="11" spans="1:12" ht="12.75">
      <c r="A11" s="128"/>
      <c r="B11" s="128"/>
      <c r="C11" s="128" t="s">
        <v>171</v>
      </c>
      <c r="D11" s="130" t="s">
        <v>172</v>
      </c>
      <c r="E11" s="128"/>
      <c r="F11" s="128"/>
      <c r="G11" s="128"/>
      <c r="H11" s="128"/>
      <c r="I11" s="128"/>
      <c r="J11" s="128"/>
      <c r="K11" s="128"/>
      <c r="L11" s="128"/>
    </row>
    <row r="12" spans="1:12" ht="12.75">
      <c r="A12" s="128"/>
      <c r="B12" s="128"/>
      <c r="C12" s="128" t="s">
        <v>173</v>
      </c>
      <c r="D12" s="130" t="s">
        <v>174</v>
      </c>
      <c r="E12" s="128"/>
      <c r="F12" s="128"/>
      <c r="G12" s="128"/>
      <c r="H12" s="128"/>
      <c r="I12" s="128"/>
      <c r="J12" s="128"/>
      <c r="K12" s="128"/>
      <c r="L12" s="128"/>
    </row>
    <row r="13" spans="1:12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ht="12.75">
      <c r="A14" s="128"/>
      <c r="B14" s="128" t="s">
        <v>175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2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ht="12.75">
      <c r="A16" s="128"/>
      <c r="B16" s="131" t="s">
        <v>176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ht="12.75">
      <c r="A17" s="128"/>
      <c r="B17" s="128" t="s">
        <v>177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12.75">
      <c r="A18" s="128"/>
      <c r="B18" s="128" t="s">
        <v>178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2.75">
      <c r="A19" s="128"/>
      <c r="B19" s="128" t="s">
        <v>179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ht="12.75">
      <c r="A20" s="128"/>
      <c r="B20" s="128" t="s">
        <v>180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12.75">
      <c r="A21" s="128"/>
      <c r="B21" s="128" t="s">
        <v>181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ht="12.75">
      <c r="A23" s="128"/>
      <c r="B23" s="128" t="s">
        <v>182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workbookViewId="0" topLeftCell="A1">
      <selection activeCell="E25" sqref="E25"/>
    </sheetView>
  </sheetViews>
  <sheetFormatPr defaultColWidth="9.140625" defaultRowHeight="12.75"/>
  <cols>
    <col min="1" max="1" width="3.421875" style="0" customWidth="1"/>
    <col min="2" max="2" width="16.421875" style="0" customWidth="1"/>
    <col min="3" max="3" width="5.00390625" style="0" customWidth="1"/>
    <col min="4" max="4" width="6.8515625" style="0" customWidth="1"/>
    <col min="5" max="5" width="9.421875" style="0" customWidth="1"/>
    <col min="6" max="6" width="4.28125" style="0" customWidth="1"/>
    <col min="7" max="7" width="16.140625" style="0" customWidth="1"/>
    <col min="8" max="8" width="9.421875" style="0" customWidth="1"/>
    <col min="10" max="10" width="4.57421875" style="0" customWidth="1"/>
    <col min="11" max="11" width="11.421875" style="0" customWidth="1"/>
    <col min="12" max="12" width="8.421875" style="0" customWidth="1"/>
  </cols>
  <sheetData>
    <row r="1" spans="2:6" ht="12.75">
      <c r="B1" s="8" t="s">
        <v>55</v>
      </c>
      <c r="C1" s="9"/>
      <c r="D1" s="9"/>
      <c r="E1" s="9"/>
      <c r="F1" s="9"/>
    </row>
    <row r="2" spans="2:6" ht="12.75">
      <c r="B2" s="10" t="s">
        <v>64</v>
      </c>
      <c r="C2" s="9"/>
      <c r="D2" s="11" t="s">
        <v>183</v>
      </c>
      <c r="E2" s="9"/>
      <c r="F2" s="9"/>
    </row>
    <row r="3" ht="13.5" thickBot="1"/>
    <row r="4" spans="2:12" ht="13.5" thickTop="1">
      <c r="B4" s="12" t="s">
        <v>8</v>
      </c>
      <c r="C4" s="2">
        <v>40</v>
      </c>
      <c r="D4" s="33" t="s">
        <v>0</v>
      </c>
      <c r="G4" s="31" t="s">
        <v>43</v>
      </c>
      <c r="H4" s="32"/>
      <c r="I4" s="33"/>
      <c r="K4" s="29" t="s">
        <v>2</v>
      </c>
      <c r="L4">
        <f>0.79*((C4/10)+1)/((C5/10)+1)</f>
        <v>0.49375</v>
      </c>
    </row>
    <row r="5" spans="2:12" ht="12.75">
      <c r="B5" s="17" t="s">
        <v>7</v>
      </c>
      <c r="C5" s="3">
        <v>70</v>
      </c>
      <c r="D5" s="36" t="s">
        <v>0</v>
      </c>
      <c r="G5" s="34" t="s">
        <v>9</v>
      </c>
      <c r="H5" s="3">
        <v>13</v>
      </c>
      <c r="I5" s="36" t="s">
        <v>5</v>
      </c>
      <c r="K5" t="s">
        <v>3</v>
      </c>
      <c r="L5">
        <f>L4*21/79</f>
        <v>0.13125</v>
      </c>
    </row>
    <row r="6" spans="2:12" ht="12.75">
      <c r="B6" s="34"/>
      <c r="C6" s="38"/>
      <c r="D6" s="36"/>
      <c r="G6" s="34" t="s">
        <v>10</v>
      </c>
      <c r="H6" s="35">
        <f>100-H5-H7</f>
        <v>38.095238095238095</v>
      </c>
      <c r="I6" s="36" t="s">
        <v>5</v>
      </c>
      <c r="K6" t="s">
        <v>4</v>
      </c>
      <c r="L6">
        <f>1-L5-L4</f>
        <v>0.375</v>
      </c>
    </row>
    <row r="7" spans="2:12" ht="12.75">
      <c r="B7" s="92" t="s">
        <v>91</v>
      </c>
      <c r="C7" s="38"/>
      <c r="D7" s="36"/>
      <c r="G7" s="34" t="s">
        <v>11</v>
      </c>
      <c r="H7" s="35">
        <f>H5*79/21</f>
        <v>48.904761904761905</v>
      </c>
      <c r="I7" s="36" t="s">
        <v>5</v>
      </c>
      <c r="K7" s="29" t="s">
        <v>45</v>
      </c>
      <c r="L7">
        <f>H11/100*(H14+1)</f>
        <v>0.21</v>
      </c>
    </row>
    <row r="8" spans="2:12" ht="12.75">
      <c r="B8" s="34" t="s">
        <v>9</v>
      </c>
      <c r="C8" s="35">
        <f>L5*100</f>
        <v>13.125</v>
      </c>
      <c r="D8" s="36" t="s">
        <v>5</v>
      </c>
      <c r="G8" s="17" t="s">
        <v>37</v>
      </c>
      <c r="H8" s="3">
        <v>230</v>
      </c>
      <c r="I8" s="36" t="s">
        <v>34</v>
      </c>
      <c r="K8" s="29" t="s">
        <v>46</v>
      </c>
      <c r="L8">
        <f>(H8+1)*H5/100</f>
        <v>30.03</v>
      </c>
    </row>
    <row r="9" spans="2:12" ht="12.75">
      <c r="B9" s="34" t="s">
        <v>10</v>
      </c>
      <c r="C9" s="35">
        <f>L6*100</f>
        <v>37.5</v>
      </c>
      <c r="D9" s="36" t="s">
        <v>5</v>
      </c>
      <c r="G9" s="34"/>
      <c r="H9" s="93">
        <f>IF(H5&gt;21,"O2 input in error","")</f>
      </c>
      <c r="I9" s="36"/>
      <c r="K9" s="29" t="s">
        <v>47</v>
      </c>
      <c r="L9">
        <f>L8-L7</f>
        <v>29.82</v>
      </c>
    </row>
    <row r="10" spans="2:12" ht="12.75">
      <c r="B10" s="34" t="s">
        <v>11</v>
      </c>
      <c r="C10" s="35">
        <f>L4*100</f>
        <v>49.375</v>
      </c>
      <c r="D10" s="36" t="s">
        <v>5</v>
      </c>
      <c r="G10" s="24" t="s">
        <v>38</v>
      </c>
      <c r="H10" s="38"/>
      <c r="I10" s="36"/>
      <c r="K10" s="29" t="s">
        <v>41</v>
      </c>
      <c r="L10">
        <f>L9/0.21</f>
        <v>142</v>
      </c>
    </row>
    <row r="11" spans="2:12" ht="12.75">
      <c r="B11" s="34" t="s">
        <v>12</v>
      </c>
      <c r="C11" s="37">
        <f>((1.6/L5)-1)*10</f>
        <v>111.9047619047619</v>
      </c>
      <c r="D11" s="36" t="s">
        <v>0</v>
      </c>
      <c r="G11" s="17" t="s">
        <v>9</v>
      </c>
      <c r="H11" s="3">
        <v>21</v>
      </c>
      <c r="I11" s="36" t="s">
        <v>5</v>
      </c>
      <c r="K11" t="s">
        <v>44</v>
      </c>
      <c r="L11">
        <f>H8-L10-H14</f>
        <v>88</v>
      </c>
    </row>
    <row r="12" spans="2:9" ht="13.5" thickBot="1">
      <c r="B12" s="62" t="s">
        <v>54</v>
      </c>
      <c r="C12" s="63">
        <f>L5*((C5/10)+1)</f>
        <v>1.05</v>
      </c>
      <c r="D12" s="40" t="s">
        <v>1</v>
      </c>
      <c r="G12" s="17" t="s">
        <v>10</v>
      </c>
      <c r="H12" s="35">
        <f>100-H11-H13</f>
        <v>0</v>
      </c>
      <c r="I12" s="36" t="s">
        <v>5</v>
      </c>
    </row>
    <row r="13" spans="7:9" ht="13.5" thickTop="1">
      <c r="G13" s="17" t="s">
        <v>11</v>
      </c>
      <c r="H13" s="35">
        <f>H11*79/21</f>
        <v>79</v>
      </c>
      <c r="I13" s="36" t="s">
        <v>5</v>
      </c>
    </row>
    <row r="14" spans="7:9" ht="13.5" thickBot="1">
      <c r="G14" s="17" t="s">
        <v>39</v>
      </c>
      <c r="H14" s="3">
        <v>0</v>
      </c>
      <c r="I14" s="36" t="s">
        <v>34</v>
      </c>
    </row>
    <row r="15" spans="2:9" ht="13.5" thickTop="1">
      <c r="B15" s="52" t="s">
        <v>82</v>
      </c>
      <c r="C15" s="32"/>
      <c r="D15" s="32"/>
      <c r="E15" s="33"/>
      <c r="G15" s="34"/>
      <c r="H15" s="93">
        <f>IF(H11&gt;21,"O2 input in error","")</f>
      </c>
      <c r="I15" s="36"/>
    </row>
    <row r="16" spans="2:9" ht="12.75">
      <c r="B16" s="34" t="s">
        <v>79</v>
      </c>
      <c r="C16" s="38"/>
      <c r="D16" s="3">
        <v>27</v>
      </c>
      <c r="E16" s="36" t="s">
        <v>29</v>
      </c>
      <c r="G16" s="24" t="s">
        <v>17</v>
      </c>
      <c r="H16" s="38"/>
      <c r="I16" s="36"/>
    </row>
    <row r="17" spans="2:9" ht="12.75">
      <c r="B17" s="34" t="s">
        <v>77</v>
      </c>
      <c r="C17" s="38"/>
      <c r="D17" s="95">
        <v>1.487</v>
      </c>
      <c r="E17" s="36" t="s">
        <v>80</v>
      </c>
      <c r="G17" s="25" t="s">
        <v>40</v>
      </c>
      <c r="H17" s="35">
        <f>H14</f>
        <v>0</v>
      </c>
      <c r="I17" s="36" t="s">
        <v>34</v>
      </c>
    </row>
    <row r="18" spans="2:9" ht="12.75">
      <c r="B18" s="34" t="s">
        <v>187</v>
      </c>
      <c r="C18" s="132" t="s">
        <v>81</v>
      </c>
      <c r="D18" s="133">
        <f>D16*L11*D17/100</f>
        <v>35.33112</v>
      </c>
      <c r="E18" s="36"/>
      <c r="G18" s="17" t="s">
        <v>15</v>
      </c>
      <c r="H18" s="35">
        <f>H17+L11</f>
        <v>88</v>
      </c>
      <c r="I18" s="36" t="s">
        <v>34</v>
      </c>
    </row>
    <row r="19" spans="2:9" ht="13.5" thickBot="1">
      <c r="B19" s="34" t="s">
        <v>184</v>
      </c>
      <c r="C19" s="132" t="s">
        <v>81</v>
      </c>
      <c r="D19" s="95">
        <v>3</v>
      </c>
      <c r="E19" s="36"/>
      <c r="G19" s="21" t="s">
        <v>16</v>
      </c>
      <c r="H19" s="39">
        <f>H18+L10</f>
        <v>230</v>
      </c>
      <c r="I19" s="40" t="s">
        <v>35</v>
      </c>
    </row>
    <row r="20" spans="2:7" ht="14.25" thickBot="1" thickTop="1">
      <c r="B20" s="62" t="s">
        <v>185</v>
      </c>
      <c r="C20" s="77" t="s">
        <v>81</v>
      </c>
      <c r="D20" s="63">
        <f>D18+D19</f>
        <v>38.33112</v>
      </c>
      <c r="E20" s="40"/>
      <c r="G20" s="64">
        <f>IF(H18&gt;H19,"Mix Impossible to Fill","")</f>
      </c>
    </row>
    <row r="21" ht="13.5" thickTop="1">
      <c r="G21" s="64">
        <f>IF(H18&gt;H19,"Reduce Residual Pressure by Venting","")</f>
      </c>
    </row>
    <row r="23" ht="12.75">
      <c r="F23" s="38"/>
    </row>
    <row r="24" ht="12.75">
      <c r="F24" s="38"/>
    </row>
    <row r="25" ht="12.75">
      <c r="F25" s="38"/>
    </row>
    <row r="26" ht="12.75">
      <c r="F26" s="38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H15" sqref="H1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4.8515625" style="0" customWidth="1"/>
    <col min="4" max="4" width="5.57421875" style="0" customWidth="1"/>
    <col min="5" max="5" width="9.57421875" style="0" customWidth="1"/>
    <col min="6" max="6" width="16.57421875" style="0" customWidth="1"/>
    <col min="7" max="7" width="6.8515625" style="0" customWidth="1"/>
    <col min="9" max="9" width="4.28125" style="0" customWidth="1"/>
    <col min="10" max="10" width="11.28125" style="0" customWidth="1"/>
  </cols>
  <sheetData>
    <row r="1" spans="1:11" ht="12.75">
      <c r="A1" s="7"/>
      <c r="B1" s="8" t="s">
        <v>66</v>
      </c>
      <c r="C1" s="9"/>
      <c r="D1" s="9"/>
      <c r="E1" s="9"/>
      <c r="F1" s="9"/>
      <c r="G1" s="7"/>
      <c r="H1" s="7"/>
      <c r="I1" s="7"/>
      <c r="J1" s="7"/>
      <c r="K1" s="7"/>
    </row>
    <row r="2" spans="1:11" ht="12.75">
      <c r="A2" s="7"/>
      <c r="B2" s="10" t="s">
        <v>64</v>
      </c>
      <c r="C2" s="9"/>
      <c r="D2" s="11" t="s">
        <v>183</v>
      </c>
      <c r="E2" s="9"/>
      <c r="F2" s="9"/>
      <c r="G2" s="7"/>
      <c r="H2" s="7"/>
      <c r="I2" s="7"/>
      <c r="J2" s="7"/>
      <c r="K2" s="7"/>
    </row>
    <row r="3" spans="1:11" ht="13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.5" thickTop="1">
      <c r="A4" s="7"/>
      <c r="B4" s="12" t="s">
        <v>67</v>
      </c>
      <c r="C4" s="2">
        <v>50</v>
      </c>
      <c r="D4" s="13" t="s">
        <v>68</v>
      </c>
      <c r="E4" s="7"/>
      <c r="F4" s="14" t="s">
        <v>17</v>
      </c>
      <c r="G4" s="15"/>
      <c r="H4" s="13"/>
      <c r="I4" s="9"/>
      <c r="J4" s="30" t="s">
        <v>45</v>
      </c>
      <c r="K4" s="23">
        <f>(C9+1)*C8/100</f>
        <v>0.5</v>
      </c>
    </row>
    <row r="5" spans="1:11" ht="13.5" thickBot="1">
      <c r="A5" s="7"/>
      <c r="B5" s="21" t="s">
        <v>37</v>
      </c>
      <c r="C5" s="4">
        <v>230</v>
      </c>
      <c r="D5" s="22" t="s">
        <v>34</v>
      </c>
      <c r="E5" s="7"/>
      <c r="F5" s="25" t="s">
        <v>40</v>
      </c>
      <c r="G5" s="16">
        <f>C9</f>
        <v>0</v>
      </c>
      <c r="H5" s="18" t="s">
        <v>34</v>
      </c>
      <c r="I5" s="20"/>
      <c r="J5" s="30" t="s">
        <v>49</v>
      </c>
      <c r="K5" s="23">
        <f>(C9+1)*(100-C8)/100</f>
        <v>0.5</v>
      </c>
    </row>
    <row r="6" spans="1:11" ht="14.25" thickBot="1" thickTop="1">
      <c r="A6" s="7"/>
      <c r="B6" s="9"/>
      <c r="C6" s="7"/>
      <c r="D6" s="9"/>
      <c r="E6" s="7"/>
      <c r="F6" s="17" t="s">
        <v>14</v>
      </c>
      <c r="G6" s="19">
        <f>G5+K10</f>
        <v>84.43037974683544</v>
      </c>
      <c r="H6" s="18" t="s">
        <v>34</v>
      </c>
      <c r="I6" s="9"/>
      <c r="J6" s="30" t="s">
        <v>46</v>
      </c>
      <c r="K6" s="7">
        <f>(C5+1)*C4/100</f>
        <v>115.5</v>
      </c>
    </row>
    <row r="7" spans="1:11" ht="14.25" thickBot="1" thickTop="1">
      <c r="A7" s="7"/>
      <c r="B7" s="14" t="s">
        <v>38</v>
      </c>
      <c r="C7" s="15"/>
      <c r="D7" s="13"/>
      <c r="E7" s="7"/>
      <c r="F7" s="21" t="s">
        <v>16</v>
      </c>
      <c r="G7" s="28">
        <f>G6+K11</f>
        <v>230</v>
      </c>
      <c r="H7" s="22" t="s">
        <v>35</v>
      </c>
      <c r="I7" s="9"/>
      <c r="J7" s="30" t="s">
        <v>51</v>
      </c>
      <c r="K7" s="7">
        <f>(C5+1)*(100-C4)/100</f>
        <v>115.5</v>
      </c>
    </row>
    <row r="8" spans="1:11" ht="13.5" thickTop="1">
      <c r="A8" s="7"/>
      <c r="B8" s="17" t="s">
        <v>9</v>
      </c>
      <c r="C8" s="3">
        <v>50</v>
      </c>
      <c r="D8" s="18" t="s">
        <v>5</v>
      </c>
      <c r="E8" s="7"/>
      <c r="F8" s="64">
        <f>IF(G6&gt;G7,"Mix Impossible to Fill","")</f>
      </c>
      <c r="I8" s="16"/>
      <c r="J8" s="30" t="s">
        <v>47</v>
      </c>
      <c r="K8" s="23">
        <f>K6-K4</f>
        <v>115</v>
      </c>
    </row>
    <row r="9" spans="1:11" ht="13.5" thickBot="1">
      <c r="A9" s="7"/>
      <c r="B9" s="21" t="s">
        <v>39</v>
      </c>
      <c r="C9" s="4">
        <v>0</v>
      </c>
      <c r="D9" s="22" t="s">
        <v>34</v>
      </c>
      <c r="E9" s="7"/>
      <c r="F9" s="64">
        <f>IF(G6&gt;G7,"Reduce Residual Gas Pressure by Venting","")</f>
      </c>
      <c r="I9" s="16"/>
      <c r="J9" s="30" t="s">
        <v>53</v>
      </c>
      <c r="K9" s="23">
        <f>K7-K5</f>
        <v>115</v>
      </c>
    </row>
    <row r="10" spans="1:11" ht="14.25" thickBot="1" thickTop="1">
      <c r="A10" s="7"/>
      <c r="B10" s="7"/>
      <c r="C10" s="7"/>
      <c r="D10" s="7"/>
      <c r="E10" s="7"/>
      <c r="I10" s="16"/>
      <c r="J10" s="27" t="s">
        <v>42</v>
      </c>
      <c r="K10" s="16">
        <f>K8-(K11*0.21)</f>
        <v>84.43037974683544</v>
      </c>
    </row>
    <row r="11" spans="1:11" ht="13.5" thickTop="1">
      <c r="A11" s="7"/>
      <c r="B11" s="70" t="s">
        <v>82</v>
      </c>
      <c r="C11" s="71"/>
      <c r="D11" s="71"/>
      <c r="E11" s="76"/>
      <c r="I11" s="16"/>
      <c r="J11" s="27" t="s">
        <v>41</v>
      </c>
      <c r="K11" s="16">
        <f>K9/0.79</f>
        <v>145.56962025316454</v>
      </c>
    </row>
    <row r="12" spans="1:9" ht="12.75">
      <c r="A12" s="7"/>
      <c r="B12" s="72" t="s">
        <v>79</v>
      </c>
      <c r="C12" s="73"/>
      <c r="D12" s="3">
        <v>7</v>
      </c>
      <c r="E12" s="74" t="s">
        <v>29</v>
      </c>
      <c r="I12" s="16"/>
    </row>
    <row r="13" spans="1:9" ht="12.75">
      <c r="A13" s="7"/>
      <c r="B13" s="34" t="s">
        <v>78</v>
      </c>
      <c r="C13" s="38"/>
      <c r="D13" s="95">
        <v>0.647</v>
      </c>
      <c r="E13" s="74" t="s">
        <v>80</v>
      </c>
      <c r="I13" s="16"/>
    </row>
    <row r="14" spans="1:9" ht="12.75">
      <c r="A14" s="7"/>
      <c r="B14" s="34" t="s">
        <v>186</v>
      </c>
      <c r="C14" s="132" t="s">
        <v>81</v>
      </c>
      <c r="D14" s="133">
        <f>D12*K10*D13/100</f>
        <v>3.8238518987341776</v>
      </c>
      <c r="E14" s="74"/>
      <c r="I14" s="16"/>
    </row>
    <row r="15" spans="1:9" ht="12.75">
      <c r="A15" s="7"/>
      <c r="B15" s="34" t="s">
        <v>184</v>
      </c>
      <c r="C15" s="38" t="s">
        <v>81</v>
      </c>
      <c r="D15" s="95">
        <v>1.5</v>
      </c>
      <c r="E15" s="74"/>
      <c r="I15" s="16"/>
    </row>
    <row r="16" spans="1:9" ht="13.5" thickBot="1">
      <c r="A16" s="7"/>
      <c r="B16" s="62" t="s">
        <v>185</v>
      </c>
      <c r="C16" s="89" t="s">
        <v>81</v>
      </c>
      <c r="D16" s="63">
        <f>D15+D14</f>
        <v>5.323851898734178</v>
      </c>
      <c r="E16" s="75"/>
      <c r="I16" s="16"/>
    </row>
    <row r="17" ht="13.5" thickTop="1"/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workbookViewId="0" topLeftCell="A1">
      <selection activeCell="D20" sqref="D20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3" width="5.00390625" style="0" customWidth="1"/>
    <col min="4" max="4" width="6.28125" style="0" customWidth="1"/>
    <col min="5" max="5" width="10.7109375" style="0" customWidth="1"/>
    <col min="6" max="6" width="4.8515625" style="0" customWidth="1"/>
    <col min="7" max="7" width="17.421875" style="0" customWidth="1"/>
    <col min="8" max="8" width="7.57421875" style="0" customWidth="1"/>
    <col min="9" max="9" width="5.421875" style="0" customWidth="1"/>
    <col min="10" max="10" width="4.28125" style="0" customWidth="1"/>
    <col min="11" max="11" width="5.28125" style="0" customWidth="1"/>
    <col min="12" max="12" width="12.00390625" style="0" customWidth="1"/>
    <col min="13" max="13" width="12.57421875" style="0" customWidth="1"/>
  </cols>
  <sheetData>
    <row r="1" spans="1:13" ht="12.75">
      <c r="A1" s="7"/>
      <c r="B1" s="8" t="s">
        <v>57</v>
      </c>
      <c r="C1" s="9"/>
      <c r="D1" s="9"/>
      <c r="E1" s="9"/>
      <c r="F1" s="9"/>
      <c r="G1" s="9"/>
      <c r="H1" s="7"/>
      <c r="I1" s="7"/>
      <c r="J1" s="7"/>
      <c r="K1" s="7"/>
      <c r="L1" s="7"/>
      <c r="M1" s="7"/>
    </row>
    <row r="2" spans="1:13" ht="12.75">
      <c r="A2" s="7"/>
      <c r="B2" s="10" t="s">
        <v>64</v>
      </c>
      <c r="C2" s="9"/>
      <c r="D2" s="11" t="s">
        <v>90</v>
      </c>
      <c r="E2" s="11"/>
      <c r="F2" s="9"/>
      <c r="G2" s="9"/>
      <c r="H2" s="7"/>
      <c r="I2" s="7"/>
      <c r="J2" s="7"/>
      <c r="K2" s="7"/>
      <c r="L2" s="7"/>
      <c r="M2" s="7"/>
    </row>
    <row r="3" spans="1:13" ht="13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.5" thickTop="1">
      <c r="A4" s="7"/>
      <c r="B4" s="12" t="s">
        <v>8</v>
      </c>
      <c r="C4" s="2">
        <v>35</v>
      </c>
      <c r="D4" s="13" t="s">
        <v>0</v>
      </c>
      <c r="E4" s="16"/>
      <c r="F4" s="7"/>
      <c r="G4" s="14" t="s">
        <v>13</v>
      </c>
      <c r="H4" s="32"/>
      <c r="I4" s="32"/>
      <c r="J4" s="13"/>
      <c r="L4" s="16" t="s">
        <v>3</v>
      </c>
      <c r="M4" s="16">
        <f>C5/(C6/10+1)</f>
        <v>0.19999999999999998</v>
      </c>
    </row>
    <row r="5" spans="1:13" ht="12.75">
      <c r="A5" s="7"/>
      <c r="B5" s="17" t="s">
        <v>6</v>
      </c>
      <c r="C5" s="3">
        <v>1.4</v>
      </c>
      <c r="D5" s="18" t="s">
        <v>1</v>
      </c>
      <c r="E5" s="16"/>
      <c r="F5" s="7"/>
      <c r="G5" s="17" t="s">
        <v>9</v>
      </c>
      <c r="H5" s="88">
        <v>20</v>
      </c>
      <c r="I5" t="s">
        <v>5</v>
      </c>
      <c r="J5" s="86"/>
      <c r="L5" s="16" t="s">
        <v>4</v>
      </c>
      <c r="M5" s="16">
        <f>1-M4-M6</f>
        <v>0.29214285714285715</v>
      </c>
    </row>
    <row r="6" spans="1:13" ht="12.75">
      <c r="A6" s="7"/>
      <c r="B6" s="17" t="s">
        <v>7</v>
      </c>
      <c r="C6" s="3">
        <v>60</v>
      </c>
      <c r="D6" s="18" t="s">
        <v>0</v>
      </c>
      <c r="E6" s="16"/>
      <c r="F6" s="7"/>
      <c r="G6" s="17" t="s">
        <v>10</v>
      </c>
      <c r="H6" s="88">
        <v>30</v>
      </c>
      <c r="I6" t="s">
        <v>5</v>
      </c>
      <c r="J6" s="18"/>
      <c r="L6" s="16" t="s">
        <v>2</v>
      </c>
      <c r="M6" s="16">
        <f>(0.79*(C4/10+1))/(C6/10+1)</f>
        <v>0.5078571428571429</v>
      </c>
    </row>
    <row r="7" spans="1:13" ht="12.75">
      <c r="A7" s="7"/>
      <c r="B7" s="34"/>
      <c r="C7" s="38"/>
      <c r="D7" s="36"/>
      <c r="E7" s="16"/>
      <c r="F7" s="7"/>
      <c r="G7" s="17" t="s">
        <v>11</v>
      </c>
      <c r="H7">
        <f>100-H5-H6</f>
        <v>50</v>
      </c>
      <c r="I7" t="s">
        <v>5</v>
      </c>
      <c r="J7" s="18"/>
      <c r="L7" s="30" t="s">
        <v>45</v>
      </c>
      <c r="M7" s="23">
        <f>(H14+1)*H11/100</f>
        <v>0.2</v>
      </c>
    </row>
    <row r="8" spans="1:13" ht="12.75">
      <c r="A8" s="7"/>
      <c r="B8" s="24" t="s">
        <v>89</v>
      </c>
      <c r="C8" s="16"/>
      <c r="D8" s="18"/>
      <c r="E8" s="16"/>
      <c r="F8" s="7"/>
      <c r="G8" s="17" t="s">
        <v>37</v>
      </c>
      <c r="H8" s="3">
        <v>230</v>
      </c>
      <c r="I8" s="16" t="s">
        <v>34</v>
      </c>
      <c r="J8" s="18"/>
      <c r="L8" s="30" t="s">
        <v>48</v>
      </c>
      <c r="M8" s="23">
        <f>(H14+1)*H12/100</f>
        <v>0.3</v>
      </c>
    </row>
    <row r="9" spans="1:13" ht="12.75">
      <c r="A9" s="7"/>
      <c r="B9" s="17" t="s">
        <v>9</v>
      </c>
      <c r="C9" s="19">
        <f>M4*100</f>
        <v>20</v>
      </c>
      <c r="D9" s="18" t="s">
        <v>5</v>
      </c>
      <c r="E9" s="16"/>
      <c r="F9" s="7"/>
      <c r="G9" s="91">
        <f>IF(H7&lt;0,"O2 OR He INPUT IS IN ERROR","")</f>
      </c>
      <c r="H9" s="38"/>
      <c r="I9" s="38"/>
      <c r="J9" s="36"/>
      <c r="L9" s="30" t="s">
        <v>49</v>
      </c>
      <c r="M9" s="23">
        <f>(H14+1)*H13/100</f>
        <v>0.5</v>
      </c>
    </row>
    <row r="10" spans="1:13" ht="12.75">
      <c r="A10" s="7"/>
      <c r="B10" s="17" t="s">
        <v>10</v>
      </c>
      <c r="C10" s="19">
        <f>M5*100</f>
        <v>29.214285714285715</v>
      </c>
      <c r="D10" s="18" t="s">
        <v>5</v>
      </c>
      <c r="E10" s="16"/>
      <c r="F10" s="7"/>
      <c r="G10" s="24" t="s">
        <v>38</v>
      </c>
      <c r="H10" s="16"/>
      <c r="I10" s="16"/>
      <c r="J10" s="36"/>
      <c r="L10" s="30" t="s">
        <v>46</v>
      </c>
      <c r="M10" s="7">
        <f>(H8+1)*H5/100</f>
        <v>46.2</v>
      </c>
    </row>
    <row r="11" spans="1:13" ht="12.75">
      <c r="A11" s="7"/>
      <c r="B11" s="17" t="s">
        <v>11</v>
      </c>
      <c r="C11" s="19">
        <f>M6*100</f>
        <v>50.78571428571429</v>
      </c>
      <c r="D11" s="18" t="s">
        <v>5</v>
      </c>
      <c r="E11" s="16"/>
      <c r="F11" s="7"/>
      <c r="G11" s="17" t="s">
        <v>9</v>
      </c>
      <c r="H11" s="3">
        <v>20</v>
      </c>
      <c r="I11" s="16" t="s">
        <v>5</v>
      </c>
      <c r="J11" s="36"/>
      <c r="L11" s="30" t="s">
        <v>50</v>
      </c>
      <c r="M11" s="7">
        <f>(H8+1)*H6/100</f>
        <v>69.3</v>
      </c>
    </row>
    <row r="12" spans="1:13" ht="13.5" thickBot="1">
      <c r="A12" s="7"/>
      <c r="B12" s="21" t="s">
        <v>12</v>
      </c>
      <c r="C12" s="87">
        <f>((1.6/M4)-1)*10</f>
        <v>70.00000000000001</v>
      </c>
      <c r="D12" s="22" t="s">
        <v>0</v>
      </c>
      <c r="E12" s="16"/>
      <c r="F12" s="7"/>
      <c r="G12" s="17" t="s">
        <v>10</v>
      </c>
      <c r="H12" s="3">
        <v>30</v>
      </c>
      <c r="I12" s="16" t="s">
        <v>5</v>
      </c>
      <c r="J12" s="36"/>
      <c r="L12" s="30" t="s">
        <v>51</v>
      </c>
      <c r="M12" s="7">
        <f>(H8+1)*H7/100</f>
        <v>115.5</v>
      </c>
    </row>
    <row r="13" spans="1:13" ht="14.25" thickBot="1" thickTop="1">
      <c r="A13" s="7"/>
      <c r="E13" s="16"/>
      <c r="F13" s="7"/>
      <c r="G13" s="17" t="s">
        <v>11</v>
      </c>
      <c r="H13" s="16">
        <f>100-H11-H12</f>
        <v>50</v>
      </c>
      <c r="I13" s="90" t="s">
        <v>5</v>
      </c>
      <c r="J13" s="36"/>
      <c r="L13" s="30" t="s">
        <v>47</v>
      </c>
      <c r="M13" s="23">
        <f>M10-M7</f>
        <v>46</v>
      </c>
    </row>
    <row r="14" spans="1:13" ht="13.5" thickTop="1">
      <c r="A14" s="7"/>
      <c r="B14" s="70" t="s">
        <v>82</v>
      </c>
      <c r="C14" s="71"/>
      <c r="D14" s="71"/>
      <c r="E14" s="76"/>
      <c r="F14" s="7"/>
      <c r="G14" s="17" t="s">
        <v>39</v>
      </c>
      <c r="H14" s="3">
        <v>0</v>
      </c>
      <c r="I14" s="16" t="s">
        <v>34</v>
      </c>
      <c r="J14" s="36"/>
      <c r="L14" s="30" t="s">
        <v>52</v>
      </c>
      <c r="M14" s="23">
        <f>M11-M8</f>
        <v>69</v>
      </c>
    </row>
    <row r="15" spans="1:13" ht="12.75">
      <c r="A15" s="7"/>
      <c r="B15" s="72" t="s">
        <v>79</v>
      </c>
      <c r="C15" s="38"/>
      <c r="D15" s="3">
        <v>27</v>
      </c>
      <c r="E15" s="74" t="s">
        <v>29</v>
      </c>
      <c r="G15" s="91">
        <f>IF(H13&lt;0,"O2 OR He INPUT IS IN ERROR","")</f>
      </c>
      <c r="H15" s="38"/>
      <c r="I15" s="38"/>
      <c r="J15" s="36"/>
      <c r="L15" s="30" t="s">
        <v>53</v>
      </c>
      <c r="M15" s="23">
        <f>M12-M9</f>
        <v>115</v>
      </c>
    </row>
    <row r="16" spans="1:13" ht="12.75">
      <c r="A16" s="7"/>
      <c r="B16" s="34" t="s">
        <v>77</v>
      </c>
      <c r="C16" s="38"/>
      <c r="D16" s="95">
        <v>1.487</v>
      </c>
      <c r="E16" s="74" t="s">
        <v>80</v>
      </c>
      <c r="G16" s="24" t="s">
        <v>17</v>
      </c>
      <c r="H16" s="16"/>
      <c r="I16" s="16"/>
      <c r="J16" s="18"/>
      <c r="L16" s="27" t="s">
        <v>42</v>
      </c>
      <c r="M16" s="16">
        <f>M13-(M17*0.21)</f>
        <v>15.430379746835445</v>
      </c>
    </row>
    <row r="17" spans="1:13" ht="12.75">
      <c r="A17" s="7"/>
      <c r="B17" s="72" t="s">
        <v>78</v>
      </c>
      <c r="C17" s="38"/>
      <c r="D17" s="95">
        <v>0.647</v>
      </c>
      <c r="E17" s="18" t="s">
        <v>80</v>
      </c>
      <c r="G17" s="25" t="s">
        <v>40</v>
      </c>
      <c r="H17" s="16">
        <f>H14</f>
        <v>0</v>
      </c>
      <c r="I17" s="16" t="s">
        <v>34</v>
      </c>
      <c r="J17" s="18"/>
      <c r="L17" s="27" t="s">
        <v>41</v>
      </c>
      <c r="M17" s="16">
        <f>M15/0.79</f>
        <v>145.56962025316454</v>
      </c>
    </row>
    <row r="18" spans="1:13" ht="12.75">
      <c r="A18" s="7"/>
      <c r="B18" s="34" t="s">
        <v>188</v>
      </c>
      <c r="C18" s="134" t="s">
        <v>81</v>
      </c>
      <c r="D18" s="26">
        <f>((D16*M14)+(D17*M16))*D15/100</f>
        <v>30.398343037974684</v>
      </c>
      <c r="E18" s="135"/>
      <c r="G18" s="17" t="s">
        <v>15</v>
      </c>
      <c r="H18" s="26">
        <f>H17+M14</f>
        <v>69</v>
      </c>
      <c r="I18" s="16" t="s">
        <v>34</v>
      </c>
      <c r="J18" s="18"/>
      <c r="K18" s="7"/>
      <c r="L18" s="7"/>
      <c r="M18" s="7"/>
    </row>
    <row r="19" spans="1:13" ht="12.75">
      <c r="A19" s="7"/>
      <c r="B19" s="34" t="s">
        <v>184</v>
      </c>
      <c r="C19" s="132" t="s">
        <v>81</v>
      </c>
      <c r="D19" s="95">
        <v>3</v>
      </c>
      <c r="E19" s="36"/>
      <c r="G19" s="17" t="s">
        <v>14</v>
      </c>
      <c r="H19" s="19">
        <f>H18+M16</f>
        <v>84.43037974683544</v>
      </c>
      <c r="I19" s="16" t="s">
        <v>34</v>
      </c>
      <c r="J19" s="18"/>
      <c r="K19" s="7"/>
      <c r="L19" s="7"/>
      <c r="M19" s="7"/>
    </row>
    <row r="20" spans="1:10" ht="13.5" thickBot="1">
      <c r="A20" s="7"/>
      <c r="B20" s="62" t="s">
        <v>185</v>
      </c>
      <c r="C20" s="77" t="s">
        <v>81</v>
      </c>
      <c r="D20" s="63">
        <f>D19+D18</f>
        <v>33.39834303797468</v>
      </c>
      <c r="E20" s="40"/>
      <c r="G20" s="17" t="s">
        <v>16</v>
      </c>
      <c r="H20" s="19">
        <f>H19+M17</f>
        <v>230</v>
      </c>
      <c r="I20" s="16" t="s">
        <v>35</v>
      </c>
      <c r="J20" s="18"/>
    </row>
    <row r="21" spans="1:10" ht="13.5" thickTop="1">
      <c r="A21" s="7"/>
      <c r="G21" s="94">
        <f>IF(H18&gt;H20,"Mix Impossible to Fill",IF(H19&gt;H20,"Mix Impossible to Fill",IF(H18&gt;H19,"Mix Impossible to Fill","")))</f>
      </c>
      <c r="H21" s="38"/>
      <c r="I21" s="38"/>
      <c r="J21" s="36"/>
    </row>
    <row r="22" spans="7:10" ht="13.5" thickBot="1">
      <c r="G22" s="62" t="s">
        <v>88</v>
      </c>
      <c r="H22" s="89"/>
      <c r="I22" s="39">
        <f>(M7+M16)/(H19+1)*100</f>
        <v>18.296043858349385</v>
      </c>
      <c r="J22" s="22" t="s">
        <v>5</v>
      </c>
    </row>
    <row r="23" spans="6:10" ht="13.5" thickTop="1">
      <c r="F23" s="38"/>
      <c r="G23" s="93">
        <f>IF(H18&gt;H20,"Reduce Residual Gas Pressure by Venting",IF(H19&gt;H20,"Reduce Residual Gas Pressure by Venting",IF(H18&gt;H19,"Reduce Residual Gas Pressure by Venting","")))</f>
      </c>
      <c r="J23" s="6"/>
    </row>
    <row r="24" ht="12.75">
      <c r="J24" s="6"/>
    </row>
    <row r="25" ht="12.75">
      <c r="J25" s="6"/>
    </row>
    <row r="26" ht="12.75">
      <c r="J26" s="6"/>
    </row>
    <row r="28" spans="5:7" ht="12.75">
      <c r="E28" s="38"/>
      <c r="F28" s="73"/>
      <c r="G28" s="38"/>
    </row>
    <row r="29" spans="5:7" ht="12.75">
      <c r="E29" s="38"/>
      <c r="F29" s="38"/>
      <c r="G29" s="38"/>
    </row>
    <row r="30" spans="5:7" ht="12.75">
      <c r="E30" s="38"/>
      <c r="F30" s="38"/>
      <c r="G30" s="38"/>
    </row>
    <row r="31" spans="5:7" ht="12.75">
      <c r="E31" s="38"/>
      <c r="F31" s="38"/>
      <c r="G31" s="73"/>
    </row>
    <row r="32" spans="5:7" ht="12.75">
      <c r="E32" s="38"/>
      <c r="F32" s="73"/>
      <c r="G32" s="73"/>
    </row>
  </sheetData>
  <sheetProtection sheet="1" objects="1" scenarios="1"/>
  <printOptions/>
  <pageMargins left="0.75" right="0.75" top="1" bottom="1" header="0.5" footer="0.5"/>
  <pageSetup fitToHeight="1" fitToWidth="1" horizontalDpi="200" verticalDpi="2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zoomScale="80" zoomScaleNormal="80" workbookViewId="0" topLeftCell="A1">
      <selection activeCell="H28" sqref="H28"/>
    </sheetView>
  </sheetViews>
  <sheetFormatPr defaultColWidth="9.140625" defaultRowHeight="12.75"/>
  <cols>
    <col min="1" max="1" width="2.00390625" style="0" customWidth="1"/>
    <col min="2" max="2" width="12.140625" style="0" customWidth="1"/>
    <col min="3" max="3" width="15.7109375" style="0" customWidth="1"/>
    <col min="4" max="4" width="8.421875" style="0" customWidth="1"/>
    <col min="5" max="5" width="2.00390625" style="0" customWidth="1"/>
    <col min="6" max="6" width="16.140625" style="0" customWidth="1"/>
    <col min="7" max="7" width="7.421875" style="0" customWidth="1"/>
    <col min="8" max="8" width="10.57421875" style="0" customWidth="1"/>
    <col min="9" max="9" width="10.421875" style="0" customWidth="1"/>
    <col min="10" max="10" width="48.28125" style="0" customWidth="1"/>
    <col min="11" max="11" width="9.7109375" style="0" customWidth="1"/>
    <col min="12" max="12" width="16.28125" style="0" customWidth="1"/>
    <col min="13" max="13" width="9.7109375" style="0" customWidth="1"/>
    <col min="14" max="14" width="6.140625" style="0" customWidth="1"/>
    <col min="16" max="16" width="19.8515625" style="0" customWidth="1"/>
    <col min="17" max="17" width="7.7109375" style="0" customWidth="1"/>
    <col min="18" max="18" width="10.00390625" style="0" customWidth="1"/>
    <col min="19" max="19" width="7.57421875" style="0" customWidth="1"/>
    <col min="20" max="20" width="7.421875" style="0" customWidth="1"/>
    <col min="21" max="21" width="5.8515625" style="0" customWidth="1"/>
    <col min="22" max="22" width="10.28125" style="0" customWidth="1"/>
  </cols>
  <sheetData>
    <row r="1" spans="6:14" ht="13.5" thickBot="1">
      <c r="F1" s="60" t="s">
        <v>56</v>
      </c>
      <c r="G1" s="1"/>
      <c r="H1" s="1"/>
      <c r="I1" s="1"/>
      <c r="J1" s="1"/>
      <c r="K1" s="1"/>
      <c r="L1" s="1"/>
      <c r="M1" s="1"/>
      <c r="N1" s="1"/>
    </row>
    <row r="2" spans="2:22" ht="13.5" thickTop="1">
      <c r="B2" s="41" t="s">
        <v>7</v>
      </c>
      <c r="C2" s="2">
        <v>90</v>
      </c>
      <c r="D2" s="42" t="s">
        <v>0</v>
      </c>
      <c r="F2" s="43" t="s">
        <v>64</v>
      </c>
      <c r="G2" s="1"/>
      <c r="H2" s="46" t="s">
        <v>141</v>
      </c>
      <c r="K2" s="1"/>
      <c r="L2" s="1"/>
      <c r="M2" s="1"/>
      <c r="N2" s="1"/>
      <c r="Q2" t="s">
        <v>100</v>
      </c>
      <c r="R2" t="s">
        <v>93</v>
      </c>
      <c r="S2" t="s">
        <v>116</v>
      </c>
      <c r="U2" s="1" t="s">
        <v>92</v>
      </c>
      <c r="V2" t="s">
        <v>93</v>
      </c>
    </row>
    <row r="3" spans="2:22" ht="13.5" thickBot="1">
      <c r="B3" s="44" t="s">
        <v>20</v>
      </c>
      <c r="C3" s="3">
        <v>15</v>
      </c>
      <c r="D3" s="45" t="s">
        <v>18</v>
      </c>
      <c r="E3" s="1"/>
      <c r="L3" s="119" t="s">
        <v>28</v>
      </c>
      <c r="M3" s="6"/>
      <c r="N3" s="6"/>
      <c r="P3" t="s">
        <v>97</v>
      </c>
      <c r="Q3">
        <f>1.3*H5/100</f>
        <v>1.3</v>
      </c>
      <c r="R3">
        <f>LOOKUP(Q3,U3:U30,V3:V30)</f>
        <v>0.56</v>
      </c>
      <c r="S3">
        <f aca="true" t="shared" si="0" ref="S3:S20">R3*D10</f>
        <v>20.720000000000002</v>
      </c>
      <c r="U3" s="1">
        <v>0</v>
      </c>
      <c r="V3">
        <v>0</v>
      </c>
    </row>
    <row r="4" spans="2:22" ht="13.5" thickTop="1">
      <c r="B4" s="44" t="s">
        <v>21</v>
      </c>
      <c r="C4" s="3">
        <v>22</v>
      </c>
      <c r="D4" s="45" t="s">
        <v>24</v>
      </c>
      <c r="E4" s="1"/>
      <c r="F4" s="31" t="s">
        <v>133</v>
      </c>
      <c r="G4" s="32"/>
      <c r="H4" s="32"/>
      <c r="I4" s="33"/>
      <c r="J4" s="99"/>
      <c r="L4" s="6" t="s">
        <v>70</v>
      </c>
      <c r="M4" s="54">
        <f>C5*(1.3*D10+1.6*D11)</f>
        <v>1121.3999999999999</v>
      </c>
      <c r="N4" s="6" t="s">
        <v>29</v>
      </c>
      <c r="P4" t="s">
        <v>98</v>
      </c>
      <c r="Q4">
        <f>1.6*H5/100</f>
        <v>1.6</v>
      </c>
      <c r="R4">
        <f>LOOKUP(Q4,U3:U30,V3:V30)</f>
        <v>2.22</v>
      </c>
      <c r="S4">
        <f t="shared" si="0"/>
        <v>44.400000000000006</v>
      </c>
      <c r="U4" s="96">
        <v>0.55</v>
      </c>
      <c r="V4" s="97">
        <v>0.12</v>
      </c>
    </row>
    <row r="5" spans="2:22" ht="12.75">
      <c r="B5" s="44" t="s">
        <v>22</v>
      </c>
      <c r="C5" s="3">
        <v>14</v>
      </c>
      <c r="D5" s="45" t="s">
        <v>24</v>
      </c>
      <c r="E5" s="1"/>
      <c r="F5" s="34" t="s">
        <v>94</v>
      </c>
      <c r="G5" s="38"/>
      <c r="H5" s="3">
        <v>100</v>
      </c>
      <c r="I5" s="36" t="s">
        <v>5</v>
      </c>
      <c r="J5" s="122" t="str">
        <f>IF(H5=100,"Oxygen selected as a deco gas","")</f>
        <v>Oxygen selected as a deco gas</v>
      </c>
      <c r="L5" s="6" t="s">
        <v>69</v>
      </c>
      <c r="M5" s="54">
        <f>C5*(1.9*D12+2.2*D13+2.5*D14+2.8*D15+3.1*D16)</f>
        <v>1348.2000000000003</v>
      </c>
      <c r="N5" s="6" t="s">
        <v>29</v>
      </c>
      <c r="P5" t="s">
        <v>99</v>
      </c>
      <c r="Q5">
        <f>1.9*H6/100</f>
        <v>0.95</v>
      </c>
      <c r="R5">
        <f>LOOKUP(Q5,U3:U30,V3:V30)</f>
        <v>0.31</v>
      </c>
      <c r="S5">
        <f t="shared" si="0"/>
        <v>4.96</v>
      </c>
      <c r="U5">
        <v>0.55</v>
      </c>
      <c r="V5">
        <v>0.12</v>
      </c>
    </row>
    <row r="6" spans="2:22" ht="13.5" thickBot="1">
      <c r="B6" s="47" t="s">
        <v>23</v>
      </c>
      <c r="C6" s="4">
        <v>10</v>
      </c>
      <c r="D6" s="48" t="s">
        <v>19</v>
      </c>
      <c r="E6" s="1"/>
      <c r="F6" s="34" t="s">
        <v>95</v>
      </c>
      <c r="G6" s="38"/>
      <c r="H6" s="3">
        <v>50</v>
      </c>
      <c r="I6" s="36" t="s">
        <v>5</v>
      </c>
      <c r="J6" s="123" t="str">
        <f>IF(H6=50,"50% Nitrox selected as a deco gas","")</f>
        <v>50% Nitrox selected as a deco gas</v>
      </c>
      <c r="L6" s="38" t="s">
        <v>140</v>
      </c>
      <c r="M6" s="38">
        <f>C4*(3.4*D17+3.7*D18+4*D19+4.3*D20+4.6*D21)</f>
        <v>2019.6</v>
      </c>
      <c r="N6" s="38" t="s">
        <v>29</v>
      </c>
      <c r="P6" t="s">
        <v>101</v>
      </c>
      <c r="Q6">
        <f>2.2*H6/100</f>
        <v>1.1</v>
      </c>
      <c r="R6">
        <f>LOOKUP(Q6,U3:U30,V3:V30)</f>
        <v>0.42</v>
      </c>
      <c r="S6">
        <f t="shared" si="0"/>
        <v>4.2</v>
      </c>
      <c r="U6" s="96">
        <v>0.56</v>
      </c>
      <c r="V6" s="97">
        <v>0.14</v>
      </c>
    </row>
    <row r="7" spans="2:22" ht="14.25" thickBot="1" thickTop="1">
      <c r="B7" s="1"/>
      <c r="C7" s="1"/>
      <c r="D7" s="1"/>
      <c r="E7" s="1"/>
      <c r="F7" s="34" t="s">
        <v>119</v>
      </c>
      <c r="G7" s="38"/>
      <c r="H7" s="3">
        <v>12</v>
      </c>
      <c r="I7" s="36" t="s">
        <v>5</v>
      </c>
      <c r="J7" s="123">
        <f>IF(H7=35,"35% Nitrox selected as a deco gas","")</f>
      </c>
      <c r="L7" s="6" t="s">
        <v>27</v>
      </c>
      <c r="M7" s="54">
        <f>C4*((C2/10+1)*C3+(((C2-36)/2+36)/10+1)*(C2-36)/C6)+C4*(4.9*D22+5.2*D23+5.5*D24+5.8*D25+6.1*D26+6.4*D27)</f>
        <v>5020.84</v>
      </c>
      <c r="N7" s="6" t="s">
        <v>29</v>
      </c>
      <c r="P7" t="s">
        <v>102</v>
      </c>
      <c r="Q7">
        <f>2.5*H6/100</f>
        <v>1.25</v>
      </c>
      <c r="R7">
        <f>LOOKUP(Q7,U3:U30,V3:V30)</f>
        <v>0.51</v>
      </c>
      <c r="S7">
        <f t="shared" si="0"/>
        <v>3.5700000000000003</v>
      </c>
      <c r="U7" s="96">
        <v>0.61</v>
      </c>
      <c r="V7" s="97">
        <v>0.16</v>
      </c>
    </row>
    <row r="8" spans="2:22" ht="13.5" thickTop="1">
      <c r="B8" s="49" t="s">
        <v>125</v>
      </c>
      <c r="C8" s="50" t="s">
        <v>26</v>
      </c>
      <c r="D8" s="51" t="s">
        <v>126</v>
      </c>
      <c r="E8" s="1"/>
      <c r="F8" s="34" t="s">
        <v>96</v>
      </c>
      <c r="G8" s="38"/>
      <c r="H8" s="3">
        <v>12</v>
      </c>
      <c r="I8" s="36" t="s">
        <v>5</v>
      </c>
      <c r="L8" s="6"/>
      <c r="M8" s="54"/>
      <c r="N8" s="6"/>
      <c r="P8" t="s">
        <v>103</v>
      </c>
      <c r="Q8">
        <f>2.8*H6/100</f>
        <v>1.4</v>
      </c>
      <c r="R8">
        <f>LOOKUP(Q8,U3:U30,V3:V30)</f>
        <v>0.67</v>
      </c>
      <c r="S8">
        <f t="shared" si="0"/>
        <v>3.35</v>
      </c>
      <c r="U8" s="96">
        <v>0.66</v>
      </c>
      <c r="V8" s="97">
        <v>0.18</v>
      </c>
    </row>
    <row r="9" spans="2:22" ht="12.75">
      <c r="B9" s="116" t="s">
        <v>123</v>
      </c>
      <c r="C9" s="117"/>
      <c r="D9" s="102" t="s">
        <v>124</v>
      </c>
      <c r="E9" s="1"/>
      <c r="F9" s="94">
        <f>IF(H7=35,IF(H6=50,IF(H5=100,"","User to use 100% deco gas at 3m and 6m"),"User to use 50% deco gas at 9m to 21m"),"")</f>
      </c>
      <c r="G9" s="38"/>
      <c r="H9" s="38"/>
      <c r="I9" s="36"/>
      <c r="L9" s="38" t="s">
        <v>120</v>
      </c>
      <c r="M9" s="37">
        <f>M7+M6</f>
        <v>7040.4400000000005</v>
      </c>
      <c r="N9" s="38" t="s">
        <v>29</v>
      </c>
      <c r="P9" t="s">
        <v>104</v>
      </c>
      <c r="Q9">
        <f>3.1*H6/100</f>
        <v>1.55</v>
      </c>
      <c r="R9">
        <f>LOOKUP(Q9,U3:U30,V3:V30)</f>
        <v>1.12</v>
      </c>
      <c r="S9">
        <f t="shared" si="0"/>
        <v>4.48</v>
      </c>
      <c r="U9" s="96">
        <v>0.71</v>
      </c>
      <c r="V9" s="97">
        <v>0.2</v>
      </c>
    </row>
    <row r="10" spans="2:22" ht="13.5" thickBot="1">
      <c r="B10" s="66">
        <v>3</v>
      </c>
      <c r="C10" s="53" t="s">
        <v>134</v>
      </c>
      <c r="D10" s="5">
        <v>37</v>
      </c>
      <c r="E10" s="1"/>
      <c r="F10" s="113" t="s">
        <v>127</v>
      </c>
      <c r="G10" s="89"/>
      <c r="H10" s="114">
        <f>S23</f>
        <v>97.052</v>
      </c>
      <c r="I10" s="115" t="s">
        <v>5</v>
      </c>
      <c r="L10" s="6" t="s">
        <v>121</v>
      </c>
      <c r="M10" s="54">
        <f>M5+M7+M6</f>
        <v>8388.640000000001</v>
      </c>
      <c r="N10" s="6" t="s">
        <v>29</v>
      </c>
      <c r="P10" t="s">
        <v>105</v>
      </c>
      <c r="Q10">
        <f>3.4*H7/100</f>
        <v>0.408</v>
      </c>
      <c r="R10">
        <f>LOOKUP(Q10,U3:U30,V3:V30)</f>
        <v>0</v>
      </c>
      <c r="S10">
        <f t="shared" si="0"/>
        <v>0</v>
      </c>
      <c r="U10" s="96">
        <v>0.76</v>
      </c>
      <c r="V10" s="97">
        <v>0.22</v>
      </c>
    </row>
    <row r="11" spans="2:22" ht="14.25" thickBot="1" thickTop="1">
      <c r="B11" s="66">
        <v>6</v>
      </c>
      <c r="C11" s="53" t="s">
        <v>134</v>
      </c>
      <c r="D11" s="5">
        <v>20</v>
      </c>
      <c r="E11" s="1"/>
      <c r="F11" s="64">
        <f>IF(H6=50,IF(H5=100,"","User to use 100% at 3m and 6m"),"")</f>
      </c>
      <c r="K11" s="1"/>
      <c r="L11" s="6" t="s">
        <v>122</v>
      </c>
      <c r="M11" s="54">
        <f>M4+M5+M6+M7</f>
        <v>9510.04</v>
      </c>
      <c r="N11" s="6" t="s">
        <v>29</v>
      </c>
      <c r="P11" t="s">
        <v>106</v>
      </c>
      <c r="Q11">
        <f>3.7*H7/100</f>
        <v>0.44400000000000006</v>
      </c>
      <c r="R11">
        <f>LOOKUP(Q11,U3:U30,V3:V30)</f>
        <v>0</v>
      </c>
      <c r="S11">
        <f t="shared" si="0"/>
        <v>0</v>
      </c>
      <c r="U11" s="96">
        <v>0.81</v>
      </c>
      <c r="V11" s="97">
        <v>0.25</v>
      </c>
    </row>
    <row r="12" spans="2:22" ht="13.5" thickTop="1">
      <c r="B12" s="104">
        <v>9</v>
      </c>
      <c r="C12" s="105" t="s">
        <v>135</v>
      </c>
      <c r="D12" s="106">
        <v>16</v>
      </c>
      <c r="E12" s="1"/>
      <c r="F12" s="52" t="s">
        <v>28</v>
      </c>
      <c r="G12" s="32"/>
      <c r="H12" s="32"/>
      <c r="I12" s="42"/>
      <c r="J12" s="1" t="s">
        <v>74</v>
      </c>
      <c r="K12" s="1"/>
      <c r="L12" s="1"/>
      <c r="M12" s="1"/>
      <c r="N12" s="1"/>
      <c r="P12" t="s">
        <v>107</v>
      </c>
      <c r="Q12">
        <f>4*H7/100</f>
        <v>0.48</v>
      </c>
      <c r="R12">
        <f>LOOKUP(Q12,U3:U30,V3:V30)</f>
        <v>0</v>
      </c>
      <c r="S12">
        <f t="shared" si="0"/>
        <v>0</v>
      </c>
      <c r="U12" s="96">
        <v>0.86</v>
      </c>
      <c r="V12" s="97">
        <v>0.28</v>
      </c>
    </row>
    <row r="13" spans="2:22" ht="12.75">
      <c r="B13" s="66">
        <v>12</v>
      </c>
      <c r="C13" s="53" t="s">
        <v>135</v>
      </c>
      <c r="D13" s="5">
        <v>10</v>
      </c>
      <c r="E13" s="1"/>
      <c r="F13" s="44" t="s">
        <v>129</v>
      </c>
      <c r="G13" s="37">
        <f>IF(H5=100,M4,"")</f>
        <v>1121.3999999999999</v>
      </c>
      <c r="H13" s="38" t="str">
        <f>IF(H5=100,"litres","Not specified")</f>
        <v>litres</v>
      </c>
      <c r="I13" s="36"/>
      <c r="J13" t="s">
        <v>75</v>
      </c>
      <c r="K13" s="1"/>
      <c r="L13" s="1"/>
      <c r="M13" s="1"/>
      <c r="N13" s="1"/>
      <c r="P13" t="s">
        <v>108</v>
      </c>
      <c r="Q13">
        <f>4.3*H7/100</f>
        <v>0.5159999999999999</v>
      </c>
      <c r="R13">
        <f>LOOKUP(Q13,U3:U30,V3:V30)</f>
        <v>0</v>
      </c>
      <c r="S13">
        <f t="shared" si="0"/>
        <v>0</v>
      </c>
      <c r="U13" s="96">
        <v>0.91</v>
      </c>
      <c r="V13" s="97">
        <v>0.31</v>
      </c>
    </row>
    <row r="14" spans="2:22" ht="12.75">
      <c r="B14" s="66">
        <v>15</v>
      </c>
      <c r="C14" s="53" t="s">
        <v>135</v>
      </c>
      <c r="D14" s="5">
        <v>7</v>
      </c>
      <c r="E14" s="1"/>
      <c r="F14" s="44" t="s">
        <v>130</v>
      </c>
      <c r="G14" s="37">
        <f>IF(H6=50,M5,"")</f>
        <v>1348.2000000000003</v>
      </c>
      <c r="H14" s="38" t="str">
        <f>IF(H6=50,"litres","Not specified")</f>
        <v>litres</v>
      </c>
      <c r="I14" s="36"/>
      <c r="J14" t="s">
        <v>76</v>
      </c>
      <c r="K14" s="1"/>
      <c r="L14" s="1"/>
      <c r="M14" s="1"/>
      <c r="N14" s="1"/>
      <c r="P14" t="s">
        <v>109</v>
      </c>
      <c r="Q14">
        <f>4.6*H7/100</f>
        <v>0.5519999999999999</v>
      </c>
      <c r="R14">
        <f>LOOKUP(Q14,U3:U30,V3:V30)</f>
        <v>0.12</v>
      </c>
      <c r="S14">
        <f t="shared" si="0"/>
        <v>0.36</v>
      </c>
      <c r="U14" s="96">
        <v>0.96</v>
      </c>
      <c r="V14" s="97">
        <v>0.33</v>
      </c>
    </row>
    <row r="15" spans="2:22" ht="12.75">
      <c r="B15" s="66">
        <v>18</v>
      </c>
      <c r="C15" s="53" t="s">
        <v>135</v>
      </c>
      <c r="D15" s="5">
        <v>5</v>
      </c>
      <c r="E15" s="1"/>
      <c r="F15" s="34" t="s">
        <v>139</v>
      </c>
      <c r="G15" s="37">
        <f>IF(H7=35,M6,"")</f>
      </c>
      <c r="H15" s="38" t="str">
        <f>IF(H7=35,"litres","Not specified")</f>
        <v>Not specified</v>
      </c>
      <c r="I15" s="36"/>
      <c r="J15" t="s">
        <v>143</v>
      </c>
      <c r="K15" s="1"/>
      <c r="L15" s="1"/>
      <c r="M15" s="1"/>
      <c r="N15" s="1"/>
      <c r="P15" t="s">
        <v>110</v>
      </c>
      <c r="Q15">
        <f>4.9*H8/100</f>
        <v>0.5880000000000001</v>
      </c>
      <c r="R15">
        <f>LOOKUP(Q15,U3:U30,V3:V30)</f>
        <v>0.14</v>
      </c>
      <c r="S15">
        <f t="shared" si="0"/>
        <v>0.28</v>
      </c>
      <c r="U15" s="96">
        <v>1.01</v>
      </c>
      <c r="V15" s="97">
        <v>0.37</v>
      </c>
    </row>
    <row r="16" spans="2:22" ht="13.5" thickBot="1">
      <c r="B16" s="66">
        <v>21</v>
      </c>
      <c r="C16" s="57" t="s">
        <v>135</v>
      </c>
      <c r="D16" s="5">
        <v>4</v>
      </c>
      <c r="E16" s="1"/>
      <c r="F16" s="47" t="s">
        <v>27</v>
      </c>
      <c r="G16" s="79">
        <f>IF(H7=35,M7,IF(H6=50,M9,IF(H5=100,M10,M11)))</f>
        <v>7040.4400000000005</v>
      </c>
      <c r="H16" s="89" t="s">
        <v>29</v>
      </c>
      <c r="I16" s="40"/>
      <c r="J16" t="s">
        <v>142</v>
      </c>
      <c r="K16" s="6"/>
      <c r="L16" s="6"/>
      <c r="M16" s="6"/>
      <c r="N16" s="6"/>
      <c r="P16" t="s">
        <v>111</v>
      </c>
      <c r="Q16">
        <f>5.2*H8/100</f>
        <v>0.6240000000000001</v>
      </c>
      <c r="R16">
        <f>LOOKUP(Q16,U3:U30,V3:V30)</f>
        <v>0.16</v>
      </c>
      <c r="S16">
        <f t="shared" si="0"/>
        <v>0.16</v>
      </c>
      <c r="U16" s="96">
        <v>1.06</v>
      </c>
      <c r="V16" s="97">
        <v>0.42</v>
      </c>
    </row>
    <row r="17" spans="2:22" ht="13.5" thickBot="1">
      <c r="B17" s="104">
        <v>24</v>
      </c>
      <c r="C17" s="105" t="s">
        <v>136</v>
      </c>
      <c r="D17" s="106">
        <v>9</v>
      </c>
      <c r="E17" s="1"/>
      <c r="J17" t="s">
        <v>128</v>
      </c>
      <c r="K17" s="6"/>
      <c r="L17" s="6"/>
      <c r="M17" s="6"/>
      <c r="N17" s="6"/>
      <c r="P17" t="s">
        <v>112</v>
      </c>
      <c r="Q17">
        <f>5.5*H8/100</f>
        <v>0.66</v>
      </c>
      <c r="R17">
        <f>LOOKUP(Q17,U3:U30,V3:V30)</f>
        <v>0.18</v>
      </c>
      <c r="S17">
        <f t="shared" si="0"/>
        <v>0.18</v>
      </c>
      <c r="U17" s="96">
        <v>1.11</v>
      </c>
      <c r="V17" s="97">
        <v>0.44</v>
      </c>
    </row>
    <row r="18" spans="2:22" ht="13.5" thickTop="1">
      <c r="B18" s="66">
        <v>27</v>
      </c>
      <c r="C18" s="53" t="s">
        <v>136</v>
      </c>
      <c r="D18" s="65">
        <v>5</v>
      </c>
      <c r="E18" s="1"/>
      <c r="F18" s="52" t="s">
        <v>30</v>
      </c>
      <c r="G18" s="56" t="s">
        <v>31</v>
      </c>
      <c r="H18" s="56" t="s">
        <v>73</v>
      </c>
      <c r="I18" s="51" t="s">
        <v>71</v>
      </c>
      <c r="J18" t="s">
        <v>137</v>
      </c>
      <c r="K18" s="38"/>
      <c r="L18" s="38"/>
      <c r="M18" s="38"/>
      <c r="N18" s="38"/>
      <c r="P18" t="s">
        <v>113</v>
      </c>
      <c r="Q18">
        <f>5.8*H8/100</f>
        <v>0.696</v>
      </c>
      <c r="R18">
        <f>LOOKUP(Q18,U3:U30,V3:V30)</f>
        <v>0.18</v>
      </c>
      <c r="S18">
        <f t="shared" si="0"/>
        <v>0.18</v>
      </c>
      <c r="U18" s="96">
        <v>1.16</v>
      </c>
      <c r="V18" s="97">
        <v>0.48</v>
      </c>
    </row>
    <row r="19" spans="2:22" ht="12.75">
      <c r="B19" s="67">
        <v>30</v>
      </c>
      <c r="C19" s="53" t="s">
        <v>136</v>
      </c>
      <c r="D19" s="5">
        <v>4</v>
      </c>
      <c r="E19" s="1"/>
      <c r="F19" s="58"/>
      <c r="G19" s="59" t="s">
        <v>32</v>
      </c>
      <c r="H19" s="68" t="s">
        <v>72</v>
      </c>
      <c r="I19" s="100" t="s">
        <v>72</v>
      </c>
      <c r="J19" t="s">
        <v>131</v>
      </c>
      <c r="K19" s="6"/>
      <c r="L19" s="6"/>
      <c r="M19" s="6"/>
      <c r="N19" s="6"/>
      <c r="P19" t="s">
        <v>114</v>
      </c>
      <c r="Q19">
        <f>6.1*H8/100</f>
        <v>0.7319999999999999</v>
      </c>
      <c r="R19">
        <f>LOOKUP(Q19,U3:U30,V3:V30)</f>
        <v>0.2</v>
      </c>
      <c r="S19">
        <f t="shared" si="0"/>
        <v>0.2</v>
      </c>
      <c r="U19" s="96">
        <v>1.21</v>
      </c>
      <c r="V19" s="97">
        <v>0.51</v>
      </c>
    </row>
    <row r="20" spans="2:22" ht="12.75">
      <c r="B20" s="67">
        <v>33</v>
      </c>
      <c r="C20" s="53" t="s">
        <v>136</v>
      </c>
      <c r="D20" s="5">
        <v>3</v>
      </c>
      <c r="E20" s="1"/>
      <c r="F20" s="34"/>
      <c r="G20" s="38"/>
      <c r="H20" s="101" t="s">
        <v>36</v>
      </c>
      <c r="I20" s="102" t="s">
        <v>36</v>
      </c>
      <c r="J20" t="s">
        <v>138</v>
      </c>
      <c r="K20" s="6"/>
      <c r="L20" s="6"/>
      <c r="M20" s="6"/>
      <c r="N20" s="6"/>
      <c r="P20" t="s">
        <v>115</v>
      </c>
      <c r="Q20">
        <f>6.4*H8/100</f>
        <v>0.7680000000000001</v>
      </c>
      <c r="R20">
        <f>LOOKUP(Q20,U3:U30,V3:V30)</f>
        <v>0.22</v>
      </c>
      <c r="S20">
        <f t="shared" si="0"/>
        <v>0.22</v>
      </c>
      <c r="U20" s="96">
        <v>1.26</v>
      </c>
      <c r="V20" s="97">
        <v>0.56</v>
      </c>
    </row>
    <row r="21" spans="2:22" ht="13.5" thickBot="1">
      <c r="B21" s="107">
        <v>36</v>
      </c>
      <c r="C21" s="57" t="s">
        <v>136</v>
      </c>
      <c r="D21" s="108">
        <v>3</v>
      </c>
      <c r="E21" s="1"/>
      <c r="F21" s="44" t="s">
        <v>129</v>
      </c>
      <c r="G21" s="3">
        <v>7</v>
      </c>
      <c r="H21" s="121">
        <f>IF(H5=100,(M4/G21)-1,"NA")</f>
        <v>159.2</v>
      </c>
      <c r="I21" s="103">
        <f>IF(H5=100,(H21*2)+15,"")</f>
        <v>333.4</v>
      </c>
      <c r="J21" s="1" t="s">
        <v>132</v>
      </c>
      <c r="K21" s="99"/>
      <c r="L21" s="99"/>
      <c r="M21" s="99"/>
      <c r="N21" s="99"/>
      <c r="P21" t="s">
        <v>118</v>
      </c>
      <c r="Q21">
        <f>(C2/10+1)*H8/100</f>
        <v>1.2</v>
      </c>
      <c r="R21">
        <f>LOOKUP(Q21,U3:U30,V3:V30)</f>
        <v>0.48</v>
      </c>
      <c r="S21">
        <f>(C2-36)/C6*R21</f>
        <v>2.592</v>
      </c>
      <c r="U21" s="96">
        <v>1.31</v>
      </c>
      <c r="V21" s="97">
        <v>0.61</v>
      </c>
    </row>
    <row r="22" spans="2:22" ht="12.75">
      <c r="B22" s="67">
        <v>39</v>
      </c>
      <c r="C22" s="53" t="s">
        <v>25</v>
      </c>
      <c r="D22" s="5">
        <v>2</v>
      </c>
      <c r="E22" s="1"/>
      <c r="F22" s="44" t="s">
        <v>130</v>
      </c>
      <c r="G22" s="3">
        <v>7</v>
      </c>
      <c r="H22" s="121">
        <f>IF(H6=50,(M5/G22)-1,"NA")</f>
        <v>191.60000000000005</v>
      </c>
      <c r="I22" s="103">
        <f>IF(H6=50,(H22*2)+15,"")</f>
        <v>398.2000000000001</v>
      </c>
      <c r="J22" s="99"/>
      <c r="K22" s="99"/>
      <c r="L22" s="99"/>
      <c r="M22" s="99"/>
      <c r="N22" s="99"/>
      <c r="P22" t="s">
        <v>117</v>
      </c>
      <c r="Q22">
        <f>(C2/10+1)*H8/100</f>
        <v>1.2</v>
      </c>
      <c r="R22">
        <f>LOOKUP(Q22,U3:U30,V3:V30)</f>
        <v>0.48</v>
      </c>
      <c r="S22">
        <f>R22*C3</f>
        <v>7.199999999999999</v>
      </c>
      <c r="U22" s="96">
        <v>1.36</v>
      </c>
      <c r="V22" s="97">
        <v>0.67</v>
      </c>
    </row>
    <row r="23" spans="2:22" ht="12.75">
      <c r="B23" s="66">
        <v>42</v>
      </c>
      <c r="C23" s="53" t="s">
        <v>25</v>
      </c>
      <c r="D23" s="65">
        <v>1</v>
      </c>
      <c r="E23" s="1"/>
      <c r="F23" s="34" t="s">
        <v>139</v>
      </c>
      <c r="G23" s="3">
        <v>7</v>
      </c>
      <c r="H23" s="120" t="str">
        <f>IF(H7=35,(M6/G23)-1,"NA")</f>
        <v>NA</v>
      </c>
      <c r="I23" s="103">
        <f>IF(H7=35,(H23*2)+15,"")</f>
      </c>
      <c r="J23" s="99"/>
      <c r="K23" s="99"/>
      <c r="L23" s="99"/>
      <c r="M23" s="99"/>
      <c r="N23" s="99"/>
      <c r="S23" s="98">
        <f>SUM(S3:S22)</f>
        <v>97.052</v>
      </c>
      <c r="U23" s="96">
        <v>1.41</v>
      </c>
      <c r="V23" s="97">
        <v>0.73</v>
      </c>
    </row>
    <row r="24" spans="2:22" ht="13.5" thickBot="1">
      <c r="B24" s="109">
        <v>45</v>
      </c>
      <c r="C24" s="53" t="s">
        <v>25</v>
      </c>
      <c r="D24" s="65">
        <v>1</v>
      </c>
      <c r="E24" s="1"/>
      <c r="F24" s="47" t="s">
        <v>25</v>
      </c>
      <c r="G24" s="4">
        <v>30</v>
      </c>
      <c r="H24" s="55">
        <f>(G16/G24)-1</f>
        <v>233.68133333333336</v>
      </c>
      <c r="I24" s="69">
        <f>H24*1.5</f>
        <v>350.52200000000005</v>
      </c>
      <c r="K24" s="118"/>
      <c r="L24" s="118"/>
      <c r="M24" s="118"/>
      <c r="N24" s="118"/>
      <c r="U24" s="96">
        <v>1.46</v>
      </c>
      <c r="V24" s="97">
        <v>0.83</v>
      </c>
    </row>
    <row r="25" spans="2:22" ht="13.5" thickTop="1">
      <c r="B25" s="109">
        <v>48</v>
      </c>
      <c r="C25" s="53" t="s">
        <v>25</v>
      </c>
      <c r="D25" s="65">
        <v>1</v>
      </c>
      <c r="K25" s="64"/>
      <c r="M25" s="64"/>
      <c r="N25" s="64"/>
      <c r="U25" s="96">
        <v>1.51</v>
      </c>
      <c r="V25" s="97">
        <v>1.12</v>
      </c>
    </row>
    <row r="26" spans="2:22" ht="12.75">
      <c r="B26" s="109">
        <v>51</v>
      </c>
      <c r="C26" s="53" t="s">
        <v>25</v>
      </c>
      <c r="D26" s="65">
        <v>1</v>
      </c>
      <c r="K26" s="64"/>
      <c r="M26" s="64"/>
      <c r="N26" s="64"/>
      <c r="U26" s="97">
        <v>1.56</v>
      </c>
      <c r="V26" s="97">
        <v>2.22</v>
      </c>
    </row>
    <row r="27" spans="2:22" ht="13.5" thickBot="1">
      <c r="B27" s="110">
        <v>54</v>
      </c>
      <c r="C27" s="111" t="s">
        <v>25</v>
      </c>
      <c r="D27" s="112">
        <v>1</v>
      </c>
      <c r="U27" s="97">
        <v>1.61</v>
      </c>
      <c r="V27" s="97">
        <v>6.25</v>
      </c>
    </row>
    <row r="28" spans="21:22" ht="13.5" thickTop="1">
      <c r="U28" s="97">
        <v>1.66</v>
      </c>
      <c r="V28" s="97">
        <v>10</v>
      </c>
    </row>
    <row r="29" spans="21:22" ht="12.75">
      <c r="U29" s="97">
        <v>1.71</v>
      </c>
      <c r="V29" s="97">
        <v>22.5</v>
      </c>
    </row>
    <row r="30" spans="21:22" ht="12.75">
      <c r="U30" s="97">
        <v>1.76</v>
      </c>
      <c r="V30" s="97">
        <v>50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"/>
  <sheetViews>
    <sheetView workbookViewId="0" topLeftCell="A1">
      <selection activeCell="C5" sqref="C5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4.421875" style="0" customWidth="1"/>
    <col min="4" max="4" width="5.7109375" style="0" customWidth="1"/>
  </cols>
  <sheetData>
    <row r="1" spans="2:4" ht="12.75">
      <c r="B1" s="81" t="s">
        <v>85</v>
      </c>
      <c r="C1" s="82"/>
      <c r="D1" s="38"/>
    </row>
    <row r="2" spans="2:4" ht="12.75">
      <c r="B2" s="81" t="s">
        <v>64</v>
      </c>
      <c r="C2" s="84" t="s">
        <v>87</v>
      </c>
      <c r="D2" s="38"/>
    </row>
    <row r="3" spans="2:4" ht="13.5" thickBot="1">
      <c r="B3" s="38"/>
      <c r="C3" s="38"/>
      <c r="D3" s="38"/>
    </row>
    <row r="4" spans="2:4" ht="13.5" thickTop="1">
      <c r="B4" s="61" t="s">
        <v>83</v>
      </c>
      <c r="C4" s="83">
        <v>110</v>
      </c>
      <c r="D4" s="33" t="s">
        <v>34</v>
      </c>
    </row>
    <row r="5" spans="2:4" ht="12.75">
      <c r="B5" s="34" t="s">
        <v>84</v>
      </c>
      <c r="C5" s="80">
        <v>47</v>
      </c>
      <c r="D5" s="36" t="s">
        <v>29</v>
      </c>
    </row>
    <row r="6" spans="2:4" ht="12.75">
      <c r="B6" s="34"/>
      <c r="C6" s="37"/>
      <c r="D6" s="36"/>
    </row>
    <row r="7" spans="2:4" ht="12.75">
      <c r="B7" s="34" t="s">
        <v>83</v>
      </c>
      <c r="C7" s="80">
        <v>0</v>
      </c>
      <c r="D7" s="36" t="s">
        <v>34</v>
      </c>
    </row>
    <row r="8" spans="2:4" ht="12.75">
      <c r="B8" s="34" t="s">
        <v>84</v>
      </c>
      <c r="C8" s="80">
        <v>7</v>
      </c>
      <c r="D8" s="36" t="s">
        <v>29</v>
      </c>
    </row>
    <row r="9" spans="2:4" ht="12.75">
      <c r="B9" s="34"/>
      <c r="C9" s="37"/>
      <c r="D9" s="36"/>
    </row>
    <row r="10" spans="2:4" ht="13.5" thickBot="1">
      <c r="B10" s="62" t="s">
        <v>86</v>
      </c>
      <c r="C10" s="79">
        <f>((C4+1)*C5+(C7+1)*C8)/(C5+C8)-1</f>
        <v>95.74074074074075</v>
      </c>
      <c r="D10" s="40" t="s">
        <v>34</v>
      </c>
    </row>
    <row r="11" ht="13.5" thickTop="1"/>
    <row r="16" ht="12.75">
      <c r="C16" s="78"/>
    </row>
  </sheetData>
  <sheetProtection sheet="1" objects="1" scenarios="1"/>
  <printOptions/>
  <pageMargins left="0.75" right="0.75" top="1" bottom="1" header="0.5" footer="0.5"/>
  <pageSetup fitToHeight="1" fitToWidth="1"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zoomScale="90" zoomScaleNormal="9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18.28125" style="0" customWidth="1"/>
    <col min="3" max="3" width="6.7109375" style="0" customWidth="1"/>
    <col min="4" max="4" width="5.28125" style="0" customWidth="1"/>
    <col min="5" max="5" width="4.140625" style="0" customWidth="1"/>
    <col min="6" max="6" width="6.421875" style="0" customWidth="1"/>
    <col min="9" max="9" width="6.28125" style="0" customWidth="1"/>
    <col min="10" max="10" width="5.7109375" style="0" customWidth="1"/>
  </cols>
  <sheetData>
    <row r="1" spans="2:4" ht="12.75">
      <c r="B1" s="125" t="s">
        <v>144</v>
      </c>
      <c r="C1" s="125"/>
      <c r="D1" s="125"/>
    </row>
    <row r="2" spans="2:3" ht="12.75">
      <c r="B2" s="125" t="s">
        <v>64</v>
      </c>
      <c r="C2" s="126" t="s">
        <v>160</v>
      </c>
    </row>
    <row r="3" ht="13.5" thickBot="1"/>
    <row r="4" spans="2:11" ht="13.5" thickTop="1">
      <c r="B4" s="61" t="s">
        <v>145</v>
      </c>
      <c r="C4" s="2">
        <v>20</v>
      </c>
      <c r="D4" s="33" t="s">
        <v>5</v>
      </c>
      <c r="J4" s="124" t="s">
        <v>148</v>
      </c>
      <c r="K4">
        <f>(C5+1)*C4/100</f>
        <v>16.2</v>
      </c>
    </row>
    <row r="5" spans="2:11" ht="12.75">
      <c r="B5" s="34" t="s">
        <v>146</v>
      </c>
      <c r="C5" s="3">
        <v>80</v>
      </c>
      <c r="D5" s="36" t="s">
        <v>34</v>
      </c>
      <c r="J5" s="124" t="s">
        <v>149</v>
      </c>
      <c r="K5">
        <f>(C8+1)*C7/100</f>
        <v>6.56</v>
      </c>
    </row>
    <row r="6" spans="2:11" ht="12.75">
      <c r="B6" s="34"/>
      <c r="C6" s="38"/>
      <c r="D6" s="36"/>
      <c r="J6" s="124" t="s">
        <v>150</v>
      </c>
      <c r="K6">
        <f>K4-K5</f>
        <v>9.64</v>
      </c>
    </row>
    <row r="7" spans="2:11" ht="12.75">
      <c r="B7" s="34" t="s">
        <v>147</v>
      </c>
      <c r="C7" s="3">
        <v>16</v>
      </c>
      <c r="D7" s="36" t="s">
        <v>5</v>
      </c>
      <c r="J7" t="s">
        <v>151</v>
      </c>
      <c r="K7">
        <f>K6/C4*100</f>
        <v>48.2</v>
      </c>
    </row>
    <row r="8" spans="2:11" ht="13.5" thickBot="1">
      <c r="B8" s="62" t="s">
        <v>33</v>
      </c>
      <c r="C8" s="4">
        <v>40</v>
      </c>
      <c r="D8" s="40" t="s">
        <v>34</v>
      </c>
      <c r="J8" t="s">
        <v>152</v>
      </c>
      <c r="K8">
        <f>C5-K7</f>
        <v>31.799999999999997</v>
      </c>
    </row>
    <row r="9" spans="2:4" ht="14.25" thickBot="1" thickTop="1">
      <c r="B9" s="38"/>
      <c r="C9" s="16"/>
      <c r="D9" s="38"/>
    </row>
    <row r="10" spans="2:4" ht="13.5" thickTop="1">
      <c r="B10" s="31" t="s">
        <v>155</v>
      </c>
      <c r="C10" s="32"/>
      <c r="D10" s="33"/>
    </row>
    <row r="11" spans="2:4" ht="12.75">
      <c r="B11" s="34" t="str">
        <f>IF(C4&gt;C7,"Vent heliox to","")</f>
        <v>Vent heliox to</v>
      </c>
      <c r="C11" s="35">
        <f>IF(C4&gt;C7,K8,"")</f>
        <v>31.799999999999997</v>
      </c>
      <c r="D11" s="36" t="str">
        <f>IF(C4&gt;C7,"barg","")</f>
        <v>barg</v>
      </c>
    </row>
    <row r="12" spans="2:4" ht="12.75">
      <c r="B12" s="34" t="str">
        <f>IF(C4&gt;C7,"Add helium to","")</f>
        <v>Add helium to</v>
      </c>
      <c r="C12" s="35">
        <f>IF(C4&gt;C7,C8,"")</f>
        <v>40</v>
      </c>
      <c r="D12" s="36" t="str">
        <f>IF(C4&gt;C7,"barg","")</f>
        <v>barg</v>
      </c>
    </row>
    <row r="13" spans="2:11" ht="12.75">
      <c r="B13" s="34">
        <f>IF(C8&gt;K14,"",IF(C4&gt;C7,"","Add O2 to"))</f>
      </c>
      <c r="C13" s="35">
        <f>IF(C8&gt;K14,"",IF(C4&gt;C7,"",K14))</f>
      </c>
      <c r="D13" s="36">
        <f>IF(C8&gt;K14,"",IF(C4&gt;C7,"","barg"))</f>
      </c>
      <c r="J13" s="124" t="s">
        <v>153</v>
      </c>
      <c r="K13">
        <f>((C4/100*(C5+1))-((C5+1)*C7/100))/(C7/100-1)</f>
        <v>-3.8571428571428554</v>
      </c>
    </row>
    <row r="14" spans="2:11" ht="12.75">
      <c r="B14" s="34">
        <f>IF(C8&gt;K14,"",IF(C4&gt;C7,"","Vent mix to"))</f>
      </c>
      <c r="C14" s="35">
        <f>IF(C8&gt;K14,"",IF(C4&gt;C7,"",C8))</f>
      </c>
      <c r="D14" s="36">
        <f>IF(C8&gt;K14,"",IF(C4&gt;C7,"","barg"))</f>
      </c>
      <c r="K14" s="127">
        <f>IF(C4&gt;C7,"",C5+K13)</f>
      </c>
    </row>
    <row r="15" spans="2:4" ht="12.75">
      <c r="B15" s="34"/>
      <c r="C15" s="38"/>
      <c r="D15" s="36"/>
    </row>
    <row r="16" spans="2:4" ht="12.75">
      <c r="B16" s="34">
        <f>IF(C8&gt;K14,"",IF(C4&gt;C7,"","User to check if initial pressure can"))</f>
      </c>
      <c r="C16" s="38"/>
      <c r="D16" s="36"/>
    </row>
    <row r="17" spans="2:4" ht="12.75">
      <c r="B17" s="34">
        <f>IF(C8&gt;K14,"",IF(C4&gt;C7,"","be reduced before adding O2"))</f>
      </c>
      <c r="C17" s="38"/>
      <c r="D17" s="36"/>
    </row>
    <row r="18" spans="2:11" ht="12.75">
      <c r="B18" s="34">
        <f>IF(C8&gt;K14,"Add O2 to","")</f>
      </c>
      <c r="C18" s="35">
        <f>IF(C8&gt;K14,(K14+K18),"")</f>
      </c>
      <c r="D18" s="36">
        <f>IF(C8&gt;K14,"barg","")</f>
      </c>
      <c r="J18" s="124" t="s">
        <v>153</v>
      </c>
      <c r="K18">
        <f>IF(C8&gt;K14,(C8-K14)*C7/100,"")</f>
      </c>
    </row>
    <row r="19" spans="2:11" ht="13.5" thickBot="1">
      <c r="B19" s="62">
        <f>IF(C8&gt;K14,"Add He to","")</f>
      </c>
      <c r="C19" s="89">
        <f>IF(C8&gt;K14,C8,"")</f>
      </c>
      <c r="D19" s="40">
        <f>IF(C8&gt;K14,"barg","")</f>
      </c>
      <c r="J19" s="124" t="s">
        <v>156</v>
      </c>
      <c r="K19">
        <f>IF(C8&gt;K14,C8,"")</f>
      </c>
    </row>
    <row r="20" ht="13.5" thickTop="1"/>
    <row r="21" ht="12.75">
      <c r="B21" t="s">
        <v>154</v>
      </c>
    </row>
    <row r="22" ht="12.75">
      <c r="B22" t="s">
        <v>157</v>
      </c>
    </row>
    <row r="23" ht="12.75">
      <c r="B23" t="s">
        <v>161</v>
      </c>
    </row>
    <row r="24" ht="12.75">
      <c r="B24" t="s">
        <v>158</v>
      </c>
    </row>
    <row r="25" ht="12.75">
      <c r="B25" t="s">
        <v>159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workbookViewId="0" topLeftCell="A1">
      <selection activeCell="F12" sqref="F12"/>
    </sheetView>
  </sheetViews>
  <sheetFormatPr defaultColWidth="9.140625" defaultRowHeight="12.75"/>
  <cols>
    <col min="1" max="1" width="4.140625" style="0" customWidth="1"/>
    <col min="2" max="2" width="15.8515625" style="0" customWidth="1"/>
    <col min="4" max="4" width="5.28125" style="0" customWidth="1"/>
    <col min="5" max="5" width="4.00390625" style="0" customWidth="1"/>
    <col min="6" max="6" width="16.57421875" style="0" customWidth="1"/>
    <col min="8" max="8" width="5.57421875" style="0" customWidth="1"/>
    <col min="9" max="9" width="4.140625" style="0" customWidth="1"/>
    <col min="10" max="10" width="10.8515625" style="0" customWidth="1"/>
  </cols>
  <sheetData>
    <row r="1" spans="2:5" ht="12.75">
      <c r="B1" s="8" t="s">
        <v>63</v>
      </c>
      <c r="C1" s="9"/>
      <c r="D1" s="9"/>
      <c r="E1" s="9"/>
    </row>
    <row r="2" spans="2:5" ht="12.75">
      <c r="B2" s="10" t="s">
        <v>64</v>
      </c>
      <c r="C2" s="9"/>
      <c r="D2" s="11" t="s">
        <v>65</v>
      </c>
      <c r="E2" s="9"/>
    </row>
    <row r="3" ht="13.5" thickBot="1"/>
    <row r="4" spans="2:11" ht="13.5" thickTop="1">
      <c r="B4" s="14" t="s">
        <v>38</v>
      </c>
      <c r="C4" s="32"/>
      <c r="D4" s="33"/>
      <c r="F4" s="31" t="s">
        <v>62</v>
      </c>
      <c r="G4" s="32"/>
      <c r="H4" s="33"/>
      <c r="J4" s="29" t="s">
        <v>45</v>
      </c>
      <c r="K4">
        <f>C5*(C8+1)/100</f>
        <v>13.77</v>
      </c>
    </row>
    <row r="5" spans="2:11" ht="12.75">
      <c r="B5" s="17" t="s">
        <v>9</v>
      </c>
      <c r="C5" s="3">
        <v>17</v>
      </c>
      <c r="D5" s="36" t="s">
        <v>5</v>
      </c>
      <c r="F5" s="17" t="s">
        <v>9</v>
      </c>
      <c r="G5" s="35">
        <f>K10*100</f>
        <v>19.597402597402596</v>
      </c>
      <c r="H5" s="36" t="s">
        <v>5</v>
      </c>
      <c r="J5" s="29" t="s">
        <v>48</v>
      </c>
      <c r="K5">
        <f>C6*(C8+1)/100</f>
        <v>32.4</v>
      </c>
    </row>
    <row r="6" spans="2:11" ht="12.75">
      <c r="B6" s="17" t="s">
        <v>10</v>
      </c>
      <c r="C6" s="3">
        <v>40</v>
      </c>
      <c r="D6" s="36" t="s">
        <v>5</v>
      </c>
      <c r="F6" s="17" t="s">
        <v>10</v>
      </c>
      <c r="G6" s="35">
        <f>K12*100</f>
        <v>14.025974025974024</v>
      </c>
      <c r="H6" s="36" t="s">
        <v>5</v>
      </c>
      <c r="J6" s="29" t="s">
        <v>49</v>
      </c>
      <c r="K6">
        <f>C7*(C8+1)/100</f>
        <v>34.83</v>
      </c>
    </row>
    <row r="7" spans="2:11" ht="12.75">
      <c r="B7" s="17" t="s">
        <v>11</v>
      </c>
      <c r="C7" s="16">
        <f>100-C6-C5</f>
        <v>43</v>
      </c>
      <c r="D7" s="36" t="s">
        <v>5</v>
      </c>
      <c r="F7" s="17" t="s">
        <v>11</v>
      </c>
      <c r="G7" s="35">
        <f>K11*100</f>
        <v>66.37662337662337</v>
      </c>
      <c r="H7" s="36" t="s">
        <v>5</v>
      </c>
      <c r="J7" s="29" t="s">
        <v>60</v>
      </c>
      <c r="K7">
        <f>C10-C8</f>
        <v>150</v>
      </c>
    </row>
    <row r="8" spans="2:11" ht="13.5" thickBot="1">
      <c r="B8" s="21" t="s">
        <v>39</v>
      </c>
      <c r="C8" s="4">
        <v>80</v>
      </c>
      <c r="D8" s="40" t="s">
        <v>34</v>
      </c>
      <c r="F8" s="34"/>
      <c r="G8" s="38"/>
      <c r="H8" s="36"/>
      <c r="J8" s="29" t="s">
        <v>58</v>
      </c>
      <c r="K8">
        <f>K7*0.21</f>
        <v>31.5</v>
      </c>
    </row>
    <row r="9" spans="2:11" ht="14.25" thickBot="1" thickTop="1">
      <c r="B9" s="85">
        <f>IF(C7&lt;0,"O2 OR He INPUT IS IN ERROR","")</f>
      </c>
      <c r="F9" s="34" t="s">
        <v>61</v>
      </c>
      <c r="G9" s="37">
        <f>((K11*((C11/10)+1)/0.79)-1)*10</f>
        <v>48.814729574223236</v>
      </c>
      <c r="H9" s="36" t="s">
        <v>0</v>
      </c>
      <c r="J9" s="29" t="s">
        <v>59</v>
      </c>
      <c r="K9">
        <f>K7*0.79</f>
        <v>118.5</v>
      </c>
    </row>
    <row r="10" spans="2:11" ht="14.25" thickBot="1" thickTop="1">
      <c r="B10" s="61" t="s">
        <v>33</v>
      </c>
      <c r="C10" s="2">
        <v>230</v>
      </c>
      <c r="D10" s="33" t="s">
        <v>34</v>
      </c>
      <c r="F10" s="62" t="s">
        <v>54</v>
      </c>
      <c r="G10" s="63">
        <f>K10*((C11/10)+1)</f>
        <v>1.3718181818181818</v>
      </c>
      <c r="H10" s="40" t="s">
        <v>1</v>
      </c>
      <c r="J10" t="s">
        <v>3</v>
      </c>
      <c r="K10">
        <f>(K4+K8)/(C10+1)</f>
        <v>0.19597402597402597</v>
      </c>
    </row>
    <row r="11" spans="2:11" ht="14.25" thickBot="1" thickTop="1">
      <c r="B11" s="62" t="s">
        <v>7</v>
      </c>
      <c r="C11" s="4">
        <v>60</v>
      </c>
      <c r="D11" s="40" t="s">
        <v>0</v>
      </c>
      <c r="J11" t="s">
        <v>2</v>
      </c>
      <c r="K11">
        <f>(K6+K9)/(C10+1)</f>
        <v>0.6637662337662337</v>
      </c>
    </row>
    <row r="12" spans="10:11" ht="13.5" thickTop="1">
      <c r="J12" t="s">
        <v>4</v>
      </c>
      <c r="K12">
        <f>K5/(C10+1)</f>
        <v>0.14025974025974025</v>
      </c>
    </row>
    <row r="14" ht="12.75">
      <c r="B14" s="64">
        <f>IF(C5+C6+C7=100,"","ERROR - RESIDUAL GAS SUMMATION DOES NOT SUM TO 100%")</f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SWELTDMK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Systems</dc:creator>
  <cp:keywords/>
  <dc:description/>
  <cp:lastModifiedBy>Gareth Jones</cp:lastModifiedBy>
  <cp:lastPrinted>2000-12-05T16:58:44Z</cp:lastPrinted>
  <dcterms:created xsi:type="dcterms:W3CDTF">1999-12-23T09:12:10Z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